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ckeske\Documents\Publishing\Biochar enterprise budget\"/>
    </mc:Choice>
  </mc:AlternateContent>
  <bookViews>
    <workbookView xWindow="0" yWindow="0" windowWidth="13488" windowHeight="6186" xr2:uid="{00000000-000D-0000-FFFF-FFFF00000000}"/>
  </bookViews>
  <sheets>
    <sheet name="Biochar Fixed Costs" sheetId="1" r:id="rId1"/>
    <sheet name="Biochar Enterprise Budget" sheetId="2" r:id="rId2"/>
    <sheet name="Parameters" sheetId="8" r:id="rId3"/>
    <sheet name="Data" sheetId="7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L7" i="1" l="1"/>
  <c r="C122" i="7" l="1"/>
  <c r="G114" i="7"/>
  <c r="C141" i="7" l="1"/>
  <c r="F39" i="2" s="1"/>
  <c r="G39" i="2" s="1"/>
  <c r="C140" i="7"/>
  <c r="G109" i="7"/>
  <c r="G108" i="7"/>
  <c r="G107" i="7"/>
  <c r="F81" i="7"/>
  <c r="D81" i="7"/>
  <c r="E75" i="7"/>
  <c r="C71" i="7"/>
  <c r="E70" i="7"/>
  <c r="E69" i="7"/>
  <c r="E71" i="7" s="1"/>
  <c r="F62" i="7"/>
  <c r="F61" i="7"/>
  <c r="F60" i="7"/>
  <c r="F58" i="7"/>
  <c r="F57" i="7"/>
  <c r="F56" i="7"/>
  <c r="F53" i="7"/>
  <c r="F52" i="7"/>
  <c r="F50" i="7"/>
  <c r="F48" i="7"/>
  <c r="F47" i="7"/>
  <c r="D36" i="7"/>
  <c r="D37" i="7" s="1"/>
  <c r="C36" i="7"/>
  <c r="C37" i="7" s="1"/>
  <c r="C40" i="7" s="1"/>
  <c r="D35" i="7"/>
  <c r="F31" i="7"/>
  <c r="C31" i="7"/>
  <c r="E31" i="7" s="1"/>
  <c r="F30" i="7"/>
  <c r="D30" i="7"/>
  <c r="C30" i="7"/>
  <c r="C13" i="7"/>
  <c r="D7" i="7"/>
  <c r="D6" i="7"/>
  <c r="C13" i="8"/>
  <c r="C7" i="8"/>
  <c r="D14" i="8" s="1"/>
  <c r="E29" i="2"/>
  <c r="F29" i="2" s="1"/>
  <c r="E13" i="2"/>
  <c r="F13" i="2" s="1"/>
  <c r="R27" i="1"/>
  <c r="L27" i="1"/>
  <c r="G27" i="1"/>
  <c r="G26" i="1"/>
  <c r="L25" i="1"/>
  <c r="H25" i="1"/>
  <c r="M25" i="1" s="1"/>
  <c r="C97" i="7" s="1"/>
  <c r="J25" i="1" s="1"/>
  <c r="G25" i="1"/>
  <c r="R25" i="1" s="1"/>
  <c r="C24" i="1"/>
  <c r="D24" i="1" s="1"/>
  <c r="G23" i="1"/>
  <c r="L22" i="1"/>
  <c r="H22" i="1"/>
  <c r="M22" i="1" s="1"/>
  <c r="C94" i="7" s="1"/>
  <c r="J22" i="1" s="1"/>
  <c r="G22" i="1"/>
  <c r="R22" i="1" s="1"/>
  <c r="P21" i="1"/>
  <c r="Q21" i="1" s="1"/>
  <c r="G21" i="1"/>
  <c r="S21" i="1" s="1"/>
  <c r="T21" i="1" s="1"/>
  <c r="G16" i="1"/>
  <c r="C13" i="1"/>
  <c r="G12" i="1"/>
  <c r="G10" i="1"/>
  <c r="G8" i="1"/>
  <c r="R7" i="1"/>
  <c r="P7" i="1" s="1"/>
  <c r="Q7" i="1" s="1"/>
  <c r="D40" i="7" l="1"/>
  <c r="D41" i="7" s="1"/>
  <c r="D39" i="7"/>
  <c r="C41" i="7"/>
  <c r="C43" i="7" s="1"/>
  <c r="F126" i="7" s="1"/>
  <c r="E23" i="2" s="1"/>
  <c r="C42" i="7"/>
  <c r="P22" i="1"/>
  <c r="Q22" i="1" s="1"/>
  <c r="P25" i="1"/>
  <c r="Q25" i="1" s="1"/>
  <c r="C8" i="8"/>
  <c r="H111" i="7" s="1"/>
  <c r="F131" i="7" s="1"/>
  <c r="S22" i="1"/>
  <c r="T22" i="1" s="1"/>
  <c r="P27" i="1"/>
  <c r="Q27" i="1" s="1"/>
  <c r="S25" i="1"/>
  <c r="T25" i="1" s="1"/>
  <c r="L10" i="1"/>
  <c r="D31" i="7"/>
  <c r="H31" i="7" s="1"/>
  <c r="F35" i="2" s="1"/>
  <c r="G35" i="2" s="1"/>
  <c r="R10" i="1"/>
  <c r="P10" i="1" s="1"/>
  <c r="Q10" i="1" s="1"/>
  <c r="E28" i="2"/>
  <c r="E9" i="2"/>
  <c r="E12" i="2"/>
  <c r="L16" i="1"/>
  <c r="R16" i="1"/>
  <c r="P16" i="1" s="1"/>
  <c r="Q16" i="1" s="1"/>
  <c r="R8" i="1"/>
  <c r="P8" i="1" s="1"/>
  <c r="Q8" i="1" s="1"/>
  <c r="L8" i="1"/>
  <c r="H10" i="1"/>
  <c r="M10" i="1" s="1"/>
  <c r="C87" i="7" s="1"/>
  <c r="J10" i="1" s="1"/>
  <c r="H16" i="1"/>
  <c r="M16" i="1" s="1"/>
  <c r="C93" i="7" s="1"/>
  <c r="J16" i="1" s="1"/>
  <c r="C15" i="1"/>
  <c r="F15" i="1" s="1"/>
  <c r="E24" i="1"/>
  <c r="I24" i="1"/>
  <c r="F59" i="7" s="1"/>
  <c r="H30" i="7"/>
  <c r="F34" i="2" s="1"/>
  <c r="G34" i="2" s="1"/>
  <c r="D15" i="8"/>
  <c r="G31" i="7"/>
  <c r="E35" i="2" s="1"/>
  <c r="H27" i="1"/>
  <c r="M27" i="1" s="1"/>
  <c r="C99" i="7" s="1"/>
  <c r="J27" i="1" s="1"/>
  <c r="L26" i="1"/>
  <c r="R26" i="1"/>
  <c r="P26" i="1" s="1"/>
  <c r="Q26" i="1" s="1"/>
  <c r="H26" i="1"/>
  <c r="M26" i="1" s="1"/>
  <c r="C98" i="7" s="1"/>
  <c r="J26" i="1" s="1"/>
  <c r="L23" i="1"/>
  <c r="R23" i="1"/>
  <c r="P23" i="1" s="1"/>
  <c r="Q23" i="1" s="1"/>
  <c r="H23" i="1"/>
  <c r="M23" i="1" s="1"/>
  <c r="C95" i="7" s="1"/>
  <c r="J23" i="1" s="1"/>
  <c r="F20" i="1"/>
  <c r="G20" i="1" s="1"/>
  <c r="C15" i="8"/>
  <c r="C9" i="1"/>
  <c r="C14" i="1"/>
  <c r="E15" i="8"/>
  <c r="C11" i="1"/>
  <c r="F13" i="1"/>
  <c r="G29" i="2"/>
  <c r="G13" i="2"/>
  <c r="F24" i="1"/>
  <c r="G30" i="7"/>
  <c r="E34" i="2" s="1"/>
  <c r="H48" i="7"/>
  <c r="C48" i="7" s="1"/>
  <c r="F70" i="7"/>
  <c r="L12" i="1"/>
  <c r="R12" i="1"/>
  <c r="H114" i="7" l="1"/>
  <c r="E14" i="2" s="1"/>
  <c r="F14" i="2" s="1"/>
  <c r="H109" i="7"/>
  <c r="E10" i="2" s="1"/>
  <c r="F10" i="2" s="1"/>
  <c r="F75" i="7"/>
  <c r="H52" i="7"/>
  <c r="C52" i="7" s="1"/>
  <c r="H12" i="1" s="1"/>
  <c r="M12" i="1" s="1"/>
  <c r="S27" i="1"/>
  <c r="T27" i="1" s="1"/>
  <c r="H108" i="7"/>
  <c r="H107" i="7"/>
  <c r="E8" i="2" s="1"/>
  <c r="H110" i="7"/>
  <c r="E11" i="2" s="1"/>
  <c r="F11" i="2" s="1"/>
  <c r="G11" i="2" s="1"/>
  <c r="G81" i="7"/>
  <c r="I81" i="7" s="1"/>
  <c r="F69" i="7"/>
  <c r="H47" i="7"/>
  <c r="C47" i="7" s="1"/>
  <c r="H7" i="1" s="1"/>
  <c r="M7" i="1" s="1"/>
  <c r="H106" i="7"/>
  <c r="E7" i="2" s="1"/>
  <c r="H8" i="1"/>
  <c r="M8" i="1" s="1"/>
  <c r="F76" i="7" s="1"/>
  <c r="F77" i="7" s="1"/>
  <c r="J8" i="1" s="1"/>
  <c r="S8" i="1" s="1"/>
  <c r="H113" i="7"/>
  <c r="F133" i="7" s="1"/>
  <c r="H112" i="7"/>
  <c r="F132" i="7" s="1"/>
  <c r="S10" i="1"/>
  <c r="T10" i="1" s="1"/>
  <c r="U10" i="1" s="1"/>
  <c r="S16" i="1"/>
  <c r="T16" i="1" s="1"/>
  <c r="E38" i="2"/>
  <c r="F38" i="2" s="1"/>
  <c r="D118" i="7"/>
  <c r="E17" i="2" s="1"/>
  <c r="G24" i="1"/>
  <c r="L24" i="1" s="1"/>
  <c r="L28" i="1" s="1"/>
  <c r="F9" i="2"/>
  <c r="F7" i="2"/>
  <c r="F8" i="2"/>
  <c r="F23" i="2"/>
  <c r="I15" i="1"/>
  <c r="F55" i="7" s="1"/>
  <c r="E15" i="1"/>
  <c r="G15" i="1" s="1"/>
  <c r="D15" i="1"/>
  <c r="F36" i="2"/>
  <c r="C14" i="7" s="1"/>
  <c r="C15" i="7" s="1"/>
  <c r="C16" i="7" s="1"/>
  <c r="S32" i="1" s="1"/>
  <c r="T32" i="1" s="1"/>
  <c r="U32" i="1" s="1"/>
  <c r="F71" i="7"/>
  <c r="J7" i="1" s="1"/>
  <c r="S7" i="1" s="1"/>
  <c r="T7" i="1" s="1"/>
  <c r="U7" i="1" s="1"/>
  <c r="H34" i="2"/>
  <c r="U16" i="1"/>
  <c r="S26" i="1"/>
  <c r="T26" i="1" s="1"/>
  <c r="U26" i="1" s="1"/>
  <c r="S23" i="1"/>
  <c r="T23" i="1" s="1"/>
  <c r="U23" i="1" s="1"/>
  <c r="H39" i="2"/>
  <c r="U27" i="1"/>
  <c r="H29" i="2"/>
  <c r="H35" i="2"/>
  <c r="C90" i="7"/>
  <c r="J13" i="1" s="1"/>
  <c r="G13" i="1"/>
  <c r="I9" i="1"/>
  <c r="F49" i="7" s="1"/>
  <c r="E9" i="1"/>
  <c r="D9" i="1"/>
  <c r="F9" i="1"/>
  <c r="U21" i="1"/>
  <c r="U22" i="1"/>
  <c r="H13" i="2"/>
  <c r="D11" i="1"/>
  <c r="E11" i="1"/>
  <c r="F11" i="1"/>
  <c r="I11" i="1"/>
  <c r="F51" i="7" s="1"/>
  <c r="U25" i="1"/>
  <c r="D14" i="1"/>
  <c r="I14" i="1"/>
  <c r="F54" i="7" s="1"/>
  <c r="F14" i="1"/>
  <c r="E14" i="1"/>
  <c r="P20" i="1"/>
  <c r="Q20" i="1" s="1"/>
  <c r="S20" i="1" s="1"/>
  <c r="T20" i="1" s="1"/>
  <c r="U20" i="1" s="1"/>
  <c r="G36" i="2"/>
  <c r="G28" i="1"/>
  <c r="H24" i="1"/>
  <c r="H28" i="1" s="1"/>
  <c r="R24" i="1"/>
  <c r="R28" i="1" s="1"/>
  <c r="F28" i="2"/>
  <c r="F12" i="2"/>
  <c r="P12" i="1"/>
  <c r="U8" i="1" l="1"/>
  <c r="T8" i="1"/>
  <c r="F40" i="2"/>
  <c r="H38" i="2"/>
  <c r="G38" i="2"/>
  <c r="G40" i="2" s="1"/>
  <c r="D122" i="7"/>
  <c r="E20" i="2" s="1"/>
  <c r="F20" i="2" s="1"/>
  <c r="G20" i="2" s="1"/>
  <c r="G21" i="2" s="1"/>
  <c r="C22" i="7"/>
  <c r="F17" i="2"/>
  <c r="G17" i="2" s="1"/>
  <c r="G18" i="2" s="1"/>
  <c r="F25" i="2"/>
  <c r="G25" i="2" s="1"/>
  <c r="G9" i="2"/>
  <c r="H9" i="2"/>
  <c r="F24" i="2"/>
  <c r="G24" i="2" s="1"/>
  <c r="H8" i="2"/>
  <c r="G8" i="2"/>
  <c r="F27" i="2"/>
  <c r="H27" i="2" s="1"/>
  <c r="H11" i="2"/>
  <c r="G7" i="2"/>
  <c r="H7" i="2"/>
  <c r="H14" i="2"/>
  <c r="G14" i="2"/>
  <c r="F30" i="2"/>
  <c r="G30" i="2" s="1"/>
  <c r="G10" i="2"/>
  <c r="H10" i="2"/>
  <c r="F26" i="2"/>
  <c r="H26" i="2" s="1"/>
  <c r="G23" i="2"/>
  <c r="H23" i="2"/>
  <c r="H36" i="2"/>
  <c r="H40" i="2"/>
  <c r="G9" i="1"/>
  <c r="R9" i="1" s="1"/>
  <c r="P9" i="1" s="1"/>
  <c r="Q9" i="1" s="1"/>
  <c r="G14" i="1"/>
  <c r="R14" i="1" s="1"/>
  <c r="P14" i="1" s="1"/>
  <c r="Q14" i="1" s="1"/>
  <c r="R13" i="1"/>
  <c r="P13" i="1" s="1"/>
  <c r="Q13" i="1" s="1"/>
  <c r="L13" i="1"/>
  <c r="H13" i="1"/>
  <c r="M13" i="1" s="1"/>
  <c r="G11" i="1"/>
  <c r="H28" i="2"/>
  <c r="G28" i="2"/>
  <c r="L15" i="1"/>
  <c r="H15" i="1"/>
  <c r="M15" i="1" s="1"/>
  <c r="C92" i="7" s="1"/>
  <c r="J15" i="1" s="1"/>
  <c r="R15" i="1"/>
  <c r="H24" i="2"/>
  <c r="P24" i="1"/>
  <c r="M24" i="1"/>
  <c r="G12" i="2"/>
  <c r="H12" i="2"/>
  <c r="F15" i="2"/>
  <c r="Q12" i="1"/>
  <c r="C89" i="7"/>
  <c r="J12" i="1" s="1"/>
  <c r="F18" i="2" l="1"/>
  <c r="H25" i="2"/>
  <c r="H30" i="2"/>
  <c r="H17" i="2"/>
  <c r="H18" i="2" s="1"/>
  <c r="G26" i="2"/>
  <c r="H31" i="2"/>
  <c r="H15" i="2"/>
  <c r="F31" i="2"/>
  <c r="G15" i="2"/>
  <c r="F21" i="2"/>
  <c r="G27" i="2"/>
  <c r="H20" i="2"/>
  <c r="H21" i="2" s="1"/>
  <c r="H9" i="1"/>
  <c r="M9" i="1" s="1"/>
  <c r="I82" i="7" s="1"/>
  <c r="I83" i="7" s="1"/>
  <c r="J9" i="1" s="1"/>
  <c r="G17" i="1"/>
  <c r="G35" i="1" s="1"/>
  <c r="L9" i="1"/>
  <c r="H14" i="1"/>
  <c r="M14" i="1" s="1"/>
  <c r="C91" i="7" s="1"/>
  <c r="J14" i="1" s="1"/>
  <c r="L14" i="1"/>
  <c r="S13" i="1"/>
  <c r="T13" i="1" s="1"/>
  <c r="U13" i="1" s="1"/>
  <c r="H11" i="1"/>
  <c r="M11" i="1" s="1"/>
  <c r="R11" i="1"/>
  <c r="P11" i="1" s="1"/>
  <c r="Q11" i="1" s="1"/>
  <c r="L11" i="1"/>
  <c r="M28" i="1"/>
  <c r="C96" i="7"/>
  <c r="J24" i="1" s="1"/>
  <c r="P15" i="1"/>
  <c r="P28" i="1"/>
  <c r="Q24" i="1"/>
  <c r="Q28" i="1" s="1"/>
  <c r="S12" i="1"/>
  <c r="F32" i="2" l="1"/>
  <c r="F41" i="2" s="1"/>
  <c r="S14" i="1"/>
  <c r="T14" i="1" s="1"/>
  <c r="U14" i="1" s="1"/>
  <c r="G31" i="2"/>
  <c r="G32" i="2" s="1"/>
  <c r="G41" i="2" s="1"/>
  <c r="C23" i="7" s="1"/>
  <c r="H32" i="2"/>
  <c r="H41" i="2" s="1"/>
  <c r="S9" i="1"/>
  <c r="T9" i="1" s="1"/>
  <c r="U9" i="1" s="1"/>
  <c r="R17" i="1"/>
  <c r="R35" i="1" s="1"/>
  <c r="C88" i="7"/>
  <c r="J11" i="1" s="1"/>
  <c r="J17" i="1" s="1"/>
  <c r="M17" i="1"/>
  <c r="M35" i="1" s="1"/>
  <c r="L17" i="1"/>
  <c r="L35" i="1" s="1"/>
  <c r="H17" i="1"/>
  <c r="H35" i="1" s="1"/>
  <c r="S24" i="1"/>
  <c r="J28" i="1"/>
  <c r="Q15" i="1"/>
  <c r="P17" i="1"/>
  <c r="P35" i="1" s="1"/>
  <c r="T12" i="1"/>
  <c r="J35" i="1" l="1"/>
  <c r="S11" i="1"/>
  <c r="T11" i="1" s="1"/>
  <c r="U11" i="1" s="1"/>
  <c r="S15" i="1"/>
  <c r="Q17" i="1"/>
  <c r="Q35" i="1" s="1"/>
  <c r="S28" i="1"/>
  <c r="C21" i="7" s="1"/>
  <c r="T24" i="1"/>
  <c r="U12" i="1"/>
  <c r="T28" i="1" l="1"/>
  <c r="F45" i="2" s="1"/>
  <c r="U24" i="1"/>
  <c r="U28" i="1" s="1"/>
  <c r="T15" i="1"/>
  <c r="S17" i="1"/>
  <c r="C20" i="7" s="1"/>
  <c r="C24" i="7" s="1"/>
  <c r="C25" i="7" s="1"/>
  <c r="S31" i="1" s="1"/>
  <c r="U15" i="1" l="1"/>
  <c r="U17" i="1" s="1"/>
  <c r="T17" i="1"/>
  <c r="H45" i="2"/>
  <c r="G45" i="2"/>
  <c r="T31" i="1"/>
  <c r="S33" i="1"/>
  <c r="S35" i="1" s="1"/>
  <c r="F44" i="2" l="1"/>
  <c r="T33" i="1"/>
  <c r="F46" i="2" s="1"/>
  <c r="U31" i="1"/>
  <c r="U33" i="1" s="1"/>
  <c r="U35" i="1" s="1"/>
  <c r="T35" i="1" l="1"/>
  <c r="H46" i="2"/>
  <c r="G46" i="2"/>
  <c r="H44" i="2"/>
  <c r="G44" i="2"/>
  <c r="F47" i="2"/>
  <c r="F48" i="2" s="1"/>
  <c r="G47" i="2" l="1"/>
  <c r="G48" i="2" s="1"/>
  <c r="H47" i="2"/>
  <c r="H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Resda Resda</author>
  </authors>
  <commentList>
    <comment ref="E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Resda Resda:</t>
        </r>
        <r>
          <rPr>
            <sz val="9"/>
            <color indexed="81"/>
            <rFont val="Tahoma"/>
            <family val="2"/>
          </rPr>
          <t xml:space="preserve">
Fast pyrolysis unit already taking into account technical availability.</t>
        </r>
      </text>
    </comment>
  </commentList>
</comments>
</file>

<file path=xl/sharedStrings.xml><?xml version="1.0" encoding="utf-8"?>
<sst xmlns="http://schemas.openxmlformats.org/spreadsheetml/2006/main" count="480" uniqueCount="222">
  <si>
    <t>Muskrat Falls Biochar Production Enterprise Budget</t>
  </si>
  <si>
    <t>Fixed Costs</t>
  </si>
  <si>
    <t>Item</t>
  </si>
  <si>
    <t>Type</t>
  </si>
  <si>
    <t>Unit</t>
  </si>
  <si>
    <t>Quantity</t>
  </si>
  <si>
    <t>$/unit</t>
  </si>
  <si>
    <t>Total cost</t>
  </si>
  <si>
    <t>Salvage value</t>
  </si>
  <si>
    <t>Useful life (years)</t>
  </si>
  <si>
    <t>Repair &amp; Maint.</t>
  </si>
  <si>
    <t>Depreciation</t>
  </si>
  <si>
    <t>Interest</t>
  </si>
  <si>
    <t>Annual fixed cost</t>
  </si>
  <si>
    <t>Cost/tonne biochar</t>
  </si>
  <si>
    <t>Diesel</t>
  </si>
  <si>
    <t>Truck</t>
  </si>
  <si>
    <t>Pyrolysis Unit</t>
  </si>
  <si>
    <t>Total Diesel Cost</t>
  </si>
  <si>
    <t>Gasoline</t>
  </si>
  <si>
    <t>Total Gasoline Cost</t>
  </si>
  <si>
    <t>Total Fuel Cost</t>
  </si>
  <si>
    <t>Labour</t>
  </si>
  <si>
    <t>Transportation</t>
  </si>
  <si>
    <t>Total Labour Cost</t>
  </si>
  <si>
    <t>Trailer</t>
  </si>
  <si>
    <t>Miscelleneous</t>
  </si>
  <si>
    <t>Waste Disposal (ash)</t>
  </si>
  <si>
    <t>Total Miscelleneous</t>
  </si>
  <si>
    <t>Mobile Pyrolysis Unit</t>
  </si>
  <si>
    <t>Machinery</t>
  </si>
  <si>
    <t>Total Machinery</t>
  </si>
  <si>
    <t>Overhead Charges</t>
  </si>
  <si>
    <t>Administration</t>
  </si>
  <si>
    <t>Fees, Permits, and other Payments</t>
  </si>
  <si>
    <t>Total Overhead Charges</t>
  </si>
  <si>
    <t>Total Fixed Costs</t>
  </si>
  <si>
    <t>Biochar Fixed Costs</t>
  </si>
  <si>
    <t>Total Fixed and Variable Costs</t>
  </si>
  <si>
    <t>Total Variable Costs</t>
  </si>
  <si>
    <t>Cost/unit</t>
  </si>
  <si>
    <t>Chainsaw</t>
  </si>
  <si>
    <t>Tax</t>
  </si>
  <si>
    <t>Litre</t>
  </si>
  <si>
    <t>Hour</t>
  </si>
  <si>
    <t>2018 Chevy Silverado 3500HD</t>
  </si>
  <si>
    <t>HV-GB Storage Facility</t>
  </si>
  <si>
    <t>RV</t>
  </si>
  <si>
    <t>C1</t>
  </si>
  <si>
    <t>C2</t>
  </si>
  <si>
    <t>n</t>
  </si>
  <si>
    <t>C3</t>
  </si>
  <si>
    <t>h</t>
  </si>
  <si>
    <t>Days per Year</t>
  </si>
  <si>
    <t>Maintenace (No Tires)</t>
  </si>
  <si>
    <t>Tires</t>
  </si>
  <si>
    <t>2017 CAD/km</t>
  </si>
  <si>
    <t>Total Cost</t>
  </si>
  <si>
    <t>Maintenance</t>
  </si>
  <si>
    <t>Chain Replacement</t>
  </si>
  <si>
    <t>Chains (pcs/tonne)</t>
  </si>
  <si>
    <t>hours/day</t>
  </si>
  <si>
    <t>Chains/day</t>
  </si>
  <si>
    <t>Chains/year</t>
  </si>
  <si>
    <t>Annual Insurance Rate</t>
  </si>
  <si>
    <t>Insurance Rate</t>
  </si>
  <si>
    <t>Interest Rate</t>
  </si>
  <si>
    <t>Payment Period (Yrs)</t>
  </si>
  <si>
    <t>Monthly Payments</t>
  </si>
  <si>
    <t>Payment Period</t>
  </si>
  <si>
    <t>Insurance</t>
  </si>
  <si>
    <t>Total Fixed Cost</t>
  </si>
  <si>
    <t>Permit/Fee Type</t>
  </si>
  <si>
    <t>Cost</t>
  </si>
  <si>
    <t>Frequency</t>
  </si>
  <si>
    <t>Complinace Certificate</t>
  </si>
  <si>
    <t>Tax Certificate</t>
  </si>
  <si>
    <t>Business Permit</t>
  </si>
  <si>
    <t>Federal Business Registration</t>
  </si>
  <si>
    <t>Timber Purchase Licence</t>
  </si>
  <si>
    <t>Operating Permit</t>
  </si>
  <si>
    <t>Environmental Assessment Determination</t>
  </si>
  <si>
    <t>Crown Land Tenure</t>
  </si>
  <si>
    <t>Health, safety and compensation coverage and registration</t>
  </si>
  <si>
    <t>Total</t>
  </si>
  <si>
    <t>Total per year</t>
  </si>
  <si>
    <t>hp-hr</t>
  </si>
  <si>
    <t>hp</t>
  </si>
  <si>
    <t>Earth Systems MPP-20 (CharMaker)</t>
  </si>
  <si>
    <t>Cost / Year</t>
  </si>
  <si>
    <t>Fuel Consumption</t>
  </si>
  <si>
    <t>Units / Year</t>
  </si>
  <si>
    <t>Annual Cost</t>
  </si>
  <si>
    <t>Cost / Tonne Biochar</t>
  </si>
  <si>
    <t>Engine Oil Mix</t>
  </si>
  <si>
    <t>Lubricants</t>
  </si>
  <si>
    <t>Pre-processing and Operations</t>
  </si>
  <si>
    <t>Job Type</t>
  </si>
  <si>
    <t>Hours / Day</t>
  </si>
  <si>
    <t>Labour Cost / Year</t>
  </si>
  <si>
    <t>Total Lubricants Cost</t>
  </si>
  <si>
    <t>Fuel, Oil and Lubricants</t>
  </si>
  <si>
    <t>Waste Disposal</t>
  </si>
  <si>
    <t>Total Administrative Fees</t>
  </si>
  <si>
    <t>Total Costs</t>
  </si>
  <si>
    <t>Rotochopper Go-Bagger 250</t>
  </si>
  <si>
    <t>1 bag (40 lbs)</t>
  </si>
  <si>
    <t>Biochar Bagging Equipment</t>
  </si>
  <si>
    <t>Biochar Bags</t>
  </si>
  <si>
    <t>Price</t>
  </si>
  <si>
    <t>Water Tank</t>
  </si>
  <si>
    <t xml:space="preserve">425 gallon Norwesco horizontal leg tank </t>
  </si>
  <si>
    <t>Water Rate</t>
  </si>
  <si>
    <t>Sewage Rate</t>
  </si>
  <si>
    <t>Portable Toilet</t>
  </si>
  <si>
    <t>PolyJohn PJN3 Portable Restroom</t>
  </si>
  <si>
    <t>PolyJohn 250 Gallon Holding Tank</t>
  </si>
  <si>
    <t>Portable Septic Tank</t>
  </si>
  <si>
    <t>Muskrat Falls Fenced Compound</t>
  </si>
  <si>
    <t>Muskrat Falls Machine Shed</t>
  </si>
  <si>
    <t>-</t>
  </si>
  <si>
    <t>Regular Pay</t>
  </si>
  <si>
    <t>Overtime Pay</t>
  </si>
  <si>
    <t>Days / Year</t>
  </si>
  <si>
    <t>Weekend Days Off</t>
  </si>
  <si>
    <t>Public Holidays</t>
  </si>
  <si>
    <t>Paid Days Vacation</t>
  </si>
  <si>
    <t>Days worked per year</t>
  </si>
  <si>
    <t>Technical Availability</t>
  </si>
  <si>
    <t>Grinder</t>
  </si>
  <si>
    <t>Screener</t>
  </si>
  <si>
    <t>Utility Tractor</t>
  </si>
  <si>
    <t>John Deere 6120E</t>
  </si>
  <si>
    <t>Morbark 2600 Horizontal Grinder</t>
  </si>
  <si>
    <t>Horizontal Grinder</t>
  </si>
  <si>
    <t>Equipment</t>
  </si>
  <si>
    <t>PJ Trailers Canada Inc. Classic Flatdeck with Duals</t>
  </si>
  <si>
    <t>Business Permits/Fees</t>
  </si>
  <si>
    <t>Administrative Costs</t>
  </si>
  <si>
    <t>Labour Rates</t>
  </si>
  <si>
    <t>Skid Steer Loader and all other Vehicles (Truck)</t>
  </si>
  <si>
    <t>Fenced Compound</t>
  </si>
  <si>
    <t>Cost (Round Trip)</t>
  </si>
  <si>
    <t>Total Truck Maintenance</t>
  </si>
  <si>
    <t>Total Trailer Maintenace</t>
  </si>
  <si>
    <t>Distance (One-Way in km)</t>
  </si>
  <si>
    <t>Cost / Chain</t>
  </si>
  <si>
    <t>Generator</t>
  </si>
  <si>
    <t>Machine Shed</t>
  </si>
  <si>
    <t>Maintenance Costs</t>
  </si>
  <si>
    <t>Total Chainsaw Maintenance</t>
  </si>
  <si>
    <t>Diesel Consumption</t>
  </si>
  <si>
    <t xml:space="preserve"> Litre/hp-hr</t>
  </si>
  <si>
    <t>Litre / Year</t>
  </si>
  <si>
    <t>Litre / tonne</t>
  </si>
  <si>
    <t>Litre / Tonne biochar</t>
  </si>
  <si>
    <t>Litre / Hr</t>
  </si>
  <si>
    <t>Gasoline Consumption</t>
  </si>
  <si>
    <t>Mixed Oil Consumption</t>
  </si>
  <si>
    <t>Lubricant Consumption</t>
  </si>
  <si>
    <t>Litre / tonne feedstock</t>
  </si>
  <si>
    <t>% of  fuel cost</t>
  </si>
  <si>
    <t>Litre / Litre fuel</t>
  </si>
  <si>
    <t>Employees</t>
  </si>
  <si>
    <t>Biochar bags</t>
  </si>
  <si>
    <t>1 tonne biochar (55.1 bags)</t>
  </si>
  <si>
    <t>CharMaker Transportation to Site</t>
  </si>
  <si>
    <t>Biochar Solutions System Set-up with Transportation</t>
  </si>
  <si>
    <t>All Other Equipment</t>
  </si>
  <si>
    <t>Pyrolysis Unit (Slow or Fast)</t>
  </si>
  <si>
    <t>Drop-Down Menus</t>
  </si>
  <si>
    <t>Equipment Depreciation</t>
  </si>
  <si>
    <t>Manure Spreaders and All Other Miscelleneous Equipment (Trailer)</t>
  </si>
  <si>
    <t>Rotary Screener</t>
  </si>
  <si>
    <t>Pyrolysis Setup and Transportation</t>
  </si>
  <si>
    <t>Total Oil Mix Cost</t>
  </si>
  <si>
    <t>Slow Pyrolysis Unit</t>
  </si>
  <si>
    <t>Fast Pyrolysis Unit</t>
  </si>
  <si>
    <t>Activity</t>
  </si>
  <si>
    <t>Preprocessing and Operations</t>
  </si>
  <si>
    <t>Slow Pyrolysis</t>
  </si>
  <si>
    <t>Fast Pyrolysis</t>
  </si>
  <si>
    <t>Tonnes / Day</t>
  </si>
  <si>
    <t>Tonnes / Hour</t>
  </si>
  <si>
    <t>Utility Tractor Hours</t>
  </si>
  <si>
    <t>Biochar Bagging Equipment Hours</t>
  </si>
  <si>
    <t>Hours Worked Per Day</t>
  </si>
  <si>
    <t>Horizontal Grinder or Screener Hours</t>
  </si>
  <si>
    <t>Number of Employees</t>
  </si>
  <si>
    <t>Name</t>
  </si>
  <si>
    <t>CharMaker (Slow)</t>
  </si>
  <si>
    <t>BSI (Fast)</t>
  </si>
  <si>
    <t>Pyrolysis Type</t>
  </si>
  <si>
    <t>2017 Revolver RT508</t>
  </si>
  <si>
    <t>Type of Maintenance</t>
  </si>
  <si>
    <t>Selected Type</t>
  </si>
  <si>
    <t>Biochar Enterprise Budget</t>
  </si>
  <si>
    <t>Variable Costs</t>
  </si>
  <si>
    <t>Type of Cost</t>
  </si>
  <si>
    <t>100 bags</t>
  </si>
  <si>
    <t>Generator (Pyrolysis)</t>
  </si>
  <si>
    <t>Generator (Warehouse)</t>
  </si>
  <si>
    <t>Warehouse</t>
  </si>
  <si>
    <t>Operation Type</t>
  </si>
  <si>
    <t>Year-Round</t>
  </si>
  <si>
    <t>Outdoors Year-Round</t>
  </si>
  <si>
    <t>Outdoors Seasonal</t>
  </si>
  <si>
    <t>Seasonal</t>
  </si>
  <si>
    <t>Gross days paid per year</t>
  </si>
  <si>
    <t>Net days paid per year</t>
  </si>
  <si>
    <t>Actual days paid per year</t>
  </si>
  <si>
    <t>Actual days worked per year</t>
  </si>
  <si>
    <t>40' X 60' Steel Frame Building</t>
  </si>
  <si>
    <t>Generator (Warehouse 1/2)</t>
  </si>
  <si>
    <t>Generator (Warehouse 3/4)</t>
  </si>
  <si>
    <t>Indoors During Winter</t>
  </si>
  <si>
    <t>John Deere Tractor Engine</t>
  </si>
  <si>
    <t>Utility Tractor (80-150 hp)</t>
  </si>
  <si>
    <t>tonnes pyrolyzed/hour</t>
  </si>
  <si>
    <t>Miscellaneous</t>
  </si>
  <si>
    <t>Working Schedule</t>
  </si>
  <si>
    <t>Annual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</si>
</sst>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&quot;$&quot;#,##0.00"/>
    <numFmt numFmtId="168" formatCode="0.0%"/>
    <numFmt numFmtId="169" formatCode="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8854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" fillId="0" borderId="3" xfId="0" applyFont="1" applyBorder="1"/>
    <xf numFmtId="0" fontId="0" fillId="0" borderId="4" xfId="0" applyBorder="1"/>
    <xf numFmtId="0" fontId="1" fillId="0" borderId="9" xfId="0" applyFont="1" applyBorder="1"/>
    <xf numFmtId="167" fontId="0" fillId="0" borderId="0" xfId="0" applyNumberFormat="1"/>
    <xf numFmtId="9" fontId="0" fillId="0" borderId="0" xfId="1" applyFont="1"/>
    <xf numFmtId="167" fontId="0" fillId="0" borderId="0" xfId="0" applyNumberFormat="1" applyBorder="1"/>
    <xf numFmtId="0" fontId="0" fillId="0" borderId="0" xfId="0" applyFill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8" fontId="0" fillId="0" borderId="0" xfId="1" applyNumberFormat="1" applyFont="1"/>
    <xf numFmtId="167" fontId="0" fillId="0" borderId="16" xfId="0" applyNumberFormat="1" applyBorder="1"/>
    <xf numFmtId="167" fontId="0" fillId="0" borderId="17" xfId="0" applyNumberFormat="1" applyBorder="1"/>
    <xf numFmtId="167" fontId="0" fillId="0" borderId="13" xfId="0" applyNumberFormat="1" applyBorder="1"/>
    <xf numFmtId="0" fontId="0" fillId="0" borderId="0" xfId="0" applyNumberFormat="1" applyAlignment="1">
      <alignment horizontal="left" vertical="top"/>
    </xf>
    <xf numFmtId="167" fontId="0" fillId="0" borderId="4" xfId="0" applyNumberFormat="1" applyBorder="1"/>
    <xf numFmtId="0" fontId="3" fillId="0" borderId="0" xfId="0" applyFont="1"/>
    <xf numFmtId="0" fontId="0" fillId="0" borderId="0" xfId="0" applyAlignment="1"/>
    <xf numFmtId="9" fontId="0" fillId="0" borderId="0" xfId="0" applyNumberFormat="1"/>
    <xf numFmtId="0" fontId="0" fillId="2" borderId="18" xfId="0" applyFill="1" applyBorder="1"/>
    <xf numFmtId="168" fontId="0" fillId="2" borderId="21" xfId="1" applyNumberFormat="1" applyFont="1" applyFill="1" applyBorder="1"/>
    <xf numFmtId="168" fontId="0" fillId="2" borderId="18" xfId="1" applyNumberFormat="1" applyFont="1" applyFill="1" applyBorder="1"/>
    <xf numFmtId="167" fontId="0" fillId="3" borderId="2" xfId="0" applyNumberFormat="1" applyFill="1" applyBorder="1"/>
    <xf numFmtId="0" fontId="0" fillId="0" borderId="8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0" borderId="20" xfId="0" applyBorder="1"/>
    <xf numFmtId="165" fontId="0" fillId="0" borderId="20" xfId="0" applyNumberFormat="1" applyBorder="1"/>
    <xf numFmtId="164" fontId="0" fillId="0" borderId="20" xfId="0" applyNumberFormat="1" applyBorder="1"/>
    <xf numFmtId="167" fontId="0" fillId="0" borderId="31" xfId="0" applyNumberFormat="1" applyBorder="1"/>
    <xf numFmtId="0" fontId="0" fillId="0" borderId="34" xfId="0" applyBorder="1"/>
    <xf numFmtId="0" fontId="0" fillId="0" borderId="21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165" fontId="0" fillId="0" borderId="40" xfId="0" applyNumberFormat="1" applyBorder="1"/>
    <xf numFmtId="0" fontId="0" fillId="0" borderId="41" xfId="0" applyBorder="1"/>
    <xf numFmtId="167" fontId="0" fillId="0" borderId="35" xfId="0" applyNumberFormat="1" applyBorder="1"/>
    <xf numFmtId="167" fontId="0" fillId="0" borderId="8" xfId="0" applyNumberFormat="1" applyBorder="1"/>
    <xf numFmtId="167" fontId="0" fillId="0" borderId="41" xfId="0" applyNumberFormat="1" applyBorder="1"/>
    <xf numFmtId="0" fontId="0" fillId="0" borderId="27" xfId="0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0" borderId="34" xfId="0" applyFill="1" applyBorder="1" applyAlignment="1">
      <alignment horizontal="left" indent="1"/>
    </xf>
    <xf numFmtId="0" fontId="0" fillId="0" borderId="39" xfId="0" applyFill="1" applyBorder="1"/>
    <xf numFmtId="0" fontId="0" fillId="0" borderId="29" xfId="0" applyFill="1" applyBorder="1"/>
    <xf numFmtId="167" fontId="0" fillId="0" borderId="13" xfId="0" applyNumberFormat="1" applyBorder="1" applyAlignment="1">
      <alignment vertical="top" wrapText="1"/>
    </xf>
    <xf numFmtId="167" fontId="0" fillId="0" borderId="8" xfId="0" applyNumberFormat="1" applyBorder="1" applyAlignment="1">
      <alignment vertical="top" wrapText="1"/>
    </xf>
    <xf numFmtId="0" fontId="0" fillId="0" borderId="25" xfId="0" applyBorder="1"/>
    <xf numFmtId="0" fontId="0" fillId="0" borderId="42" xfId="0" applyBorder="1"/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 wrapText="1"/>
    </xf>
    <xf numFmtId="0" fontId="0" fillId="0" borderId="44" xfId="0" applyBorder="1"/>
    <xf numFmtId="0" fontId="0" fillId="0" borderId="2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167" fontId="0" fillId="0" borderId="20" xfId="0" applyNumberFormat="1" applyBorder="1" applyAlignment="1">
      <alignment vertical="top" wrapText="1"/>
    </xf>
    <xf numFmtId="167" fontId="0" fillId="0" borderId="31" xfId="0" applyNumberFormat="1" applyBorder="1" applyAlignment="1">
      <alignment vertical="top"/>
    </xf>
    <xf numFmtId="0" fontId="0" fillId="0" borderId="16" xfId="0" applyBorder="1"/>
    <xf numFmtId="0" fontId="0" fillId="0" borderId="26" xfId="0" applyBorder="1"/>
    <xf numFmtId="0" fontId="0" fillId="0" borderId="13" xfId="0" applyFill="1" applyBorder="1"/>
    <xf numFmtId="0" fontId="0" fillId="0" borderId="8" xfId="0" applyFill="1" applyBorder="1"/>
    <xf numFmtId="0" fontId="0" fillId="0" borderId="25" xfId="0" applyFill="1" applyBorder="1"/>
    <xf numFmtId="0" fontId="0" fillId="0" borderId="28" xfId="0" applyFill="1" applyBorder="1" applyAlignment="1">
      <alignment wrapText="1"/>
    </xf>
    <xf numFmtId="0" fontId="0" fillId="0" borderId="28" xfId="0" applyFill="1" applyBorder="1"/>
    <xf numFmtId="0" fontId="0" fillId="0" borderId="44" xfId="0" applyFill="1" applyBorder="1"/>
    <xf numFmtId="9" fontId="0" fillId="0" borderId="20" xfId="1" applyFont="1" applyFill="1" applyBorder="1"/>
    <xf numFmtId="9" fontId="0" fillId="0" borderId="20" xfId="1" applyFont="1" applyBorder="1"/>
    <xf numFmtId="9" fontId="0" fillId="0" borderId="31" xfId="1" applyFont="1" applyBorder="1"/>
    <xf numFmtId="0" fontId="0" fillId="0" borderId="20" xfId="0" applyFill="1" applyBorder="1"/>
    <xf numFmtId="0" fontId="0" fillId="0" borderId="31" xfId="0" applyFill="1" applyBorder="1"/>
    <xf numFmtId="0" fontId="0" fillId="0" borderId="28" xfId="0" applyFill="1" applyBorder="1" applyAlignment="1">
      <alignment horizontal="left" indent="1"/>
    </xf>
    <xf numFmtId="167" fontId="0" fillId="0" borderId="20" xfId="0" applyNumberFormat="1" applyFill="1" applyBorder="1"/>
    <xf numFmtId="167" fontId="0" fillId="0" borderId="20" xfId="0" applyNumberFormat="1" applyBorder="1"/>
    <xf numFmtId="0" fontId="0" fillId="0" borderId="31" xfId="0" applyBorder="1"/>
    <xf numFmtId="0" fontId="0" fillId="0" borderId="25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4" xfId="0" applyBorder="1" applyAlignment="1">
      <alignment vertical="top"/>
    </xf>
    <xf numFmtId="0" fontId="0" fillId="0" borderId="25" xfId="0" applyFill="1" applyBorder="1" applyAlignment="1">
      <alignment wrapText="1"/>
    </xf>
    <xf numFmtId="0" fontId="0" fillId="0" borderId="44" xfId="0" applyFill="1" applyBorder="1" applyAlignment="1">
      <alignment wrapText="1"/>
    </xf>
    <xf numFmtId="0" fontId="0" fillId="0" borderId="44" xfId="0" applyBorder="1" applyAlignment="1">
      <alignment horizontal="left" wrapText="1"/>
    </xf>
    <xf numFmtId="167" fontId="0" fillId="0" borderId="13" xfId="0" applyNumberFormat="1" applyBorder="1" applyAlignment="1">
      <alignment horizontal="right" indent="1"/>
    </xf>
    <xf numFmtId="167" fontId="0" fillId="0" borderId="38" xfId="0" applyNumberFormat="1" applyBorder="1"/>
    <xf numFmtId="0" fontId="0" fillId="0" borderId="23" xfId="0" applyBorder="1"/>
    <xf numFmtId="0" fontId="0" fillId="2" borderId="45" xfId="0" applyFill="1" applyBorder="1"/>
    <xf numFmtId="0" fontId="0" fillId="2" borderId="47" xfId="0" applyFill="1" applyBorder="1"/>
    <xf numFmtId="0" fontId="0" fillId="2" borderId="48" xfId="0" applyFill="1" applyBorder="1"/>
    <xf numFmtId="0" fontId="0" fillId="3" borderId="30" xfId="0" applyFill="1" applyBorder="1"/>
    <xf numFmtId="0" fontId="0" fillId="3" borderId="48" xfId="0" applyFill="1" applyBorder="1"/>
    <xf numFmtId="167" fontId="0" fillId="0" borderId="20" xfId="0" applyNumberFormat="1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167" fontId="0" fillId="0" borderId="20" xfId="0" applyNumberFormat="1" applyBorder="1" applyAlignment="1">
      <alignment horizontal="right"/>
    </xf>
    <xf numFmtId="167" fontId="0" fillId="0" borderId="13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31" xfId="0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31" xfId="0" applyNumberFormat="1" applyBorder="1" applyAlignment="1">
      <alignment horizontal="right"/>
    </xf>
    <xf numFmtId="0" fontId="0" fillId="0" borderId="20" xfId="0" applyBorder="1" applyAlignment="1">
      <alignment horizontal="right" vertical="top" wrapText="1"/>
    </xf>
    <xf numFmtId="0" fontId="0" fillId="0" borderId="20" xfId="0" applyBorder="1" applyAlignment="1">
      <alignment horizontal="right" vertical="top"/>
    </xf>
    <xf numFmtId="0" fontId="0" fillId="0" borderId="13" xfId="0" applyBorder="1" applyAlignment="1">
      <alignment horizontal="right"/>
    </xf>
    <xf numFmtId="0" fontId="0" fillId="0" borderId="13" xfId="0" applyNumberFormat="1" applyBorder="1" applyAlignment="1">
      <alignment horizontal="right" vertical="top"/>
    </xf>
    <xf numFmtId="0" fontId="0" fillId="0" borderId="31" xfId="0" applyNumberFormat="1" applyBorder="1" applyAlignment="1">
      <alignment horizontal="right" vertical="top"/>
    </xf>
    <xf numFmtId="0" fontId="0" fillId="0" borderId="8" xfId="0" applyBorder="1" applyAlignment="1">
      <alignment horizontal="right"/>
    </xf>
    <xf numFmtId="9" fontId="0" fillId="0" borderId="20" xfId="1" applyFont="1" applyFill="1" applyBorder="1" applyAlignment="1">
      <alignment horizontal="right"/>
    </xf>
    <xf numFmtId="9" fontId="0" fillId="0" borderId="31" xfId="1" applyFont="1" applyFill="1" applyBorder="1" applyAlignment="1">
      <alignment horizontal="right"/>
    </xf>
    <xf numFmtId="0" fontId="0" fillId="0" borderId="31" xfId="0" applyFill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7" fontId="0" fillId="3" borderId="46" xfId="0" applyNumberFormat="1" applyFill="1" applyBorder="1"/>
    <xf numFmtId="0" fontId="0" fillId="0" borderId="30" xfId="0" applyBorder="1"/>
    <xf numFmtId="167" fontId="0" fillId="0" borderId="19" xfId="0" applyNumberFormat="1" applyBorder="1"/>
    <xf numFmtId="167" fontId="0" fillId="0" borderId="30" xfId="0" applyNumberFormat="1" applyBorder="1"/>
    <xf numFmtId="0" fontId="0" fillId="0" borderId="20" xfId="0" applyNumberFormat="1" applyFill="1" applyBorder="1"/>
    <xf numFmtId="0" fontId="0" fillId="0" borderId="49" xfId="0" applyFont="1" applyBorder="1"/>
    <xf numFmtId="0" fontId="0" fillId="0" borderId="50" xfId="0" applyBorder="1"/>
    <xf numFmtId="165" fontId="0" fillId="0" borderId="50" xfId="0" applyNumberFormat="1" applyBorder="1"/>
    <xf numFmtId="167" fontId="0" fillId="0" borderId="50" xfId="0" applyNumberFormat="1" applyBorder="1"/>
    <xf numFmtId="0" fontId="0" fillId="0" borderId="50" xfId="0" applyFill="1" applyBorder="1"/>
    <xf numFmtId="165" fontId="0" fillId="0" borderId="30" xfId="0" applyNumberFormat="1" applyBorder="1"/>
    <xf numFmtId="0" fontId="0" fillId="0" borderId="49" xfId="0" applyBorder="1"/>
    <xf numFmtId="0" fontId="0" fillId="0" borderId="51" xfId="0" applyBorder="1"/>
    <xf numFmtId="0" fontId="0" fillId="0" borderId="22" xfId="0" applyBorder="1"/>
    <xf numFmtId="0" fontId="0" fillId="0" borderId="52" xfId="0" applyBorder="1"/>
    <xf numFmtId="166" fontId="0" fillId="0" borderId="50" xfId="2" applyFont="1" applyBorder="1"/>
    <xf numFmtId="167" fontId="0" fillId="0" borderId="21" xfId="0" applyNumberFormat="1" applyBorder="1"/>
    <xf numFmtId="166" fontId="0" fillId="0" borderId="50" xfId="0" applyNumberFormat="1" applyBorder="1"/>
    <xf numFmtId="167" fontId="0" fillId="0" borderId="43" xfId="0" applyNumberFormat="1" applyBorder="1"/>
    <xf numFmtId="0" fontId="0" fillId="0" borderId="43" xfId="0" applyBorder="1"/>
    <xf numFmtId="0" fontId="1" fillId="0" borderId="42" xfId="0" applyFont="1" applyBorder="1" applyAlignment="1">
      <alignment horizontal="center"/>
    </xf>
    <xf numFmtId="0" fontId="1" fillId="0" borderId="32" xfId="0" applyFont="1" applyBorder="1"/>
    <xf numFmtId="0" fontId="1" fillId="0" borderId="28" xfId="0" applyFont="1" applyBorder="1"/>
    <xf numFmtId="0" fontId="0" fillId="0" borderId="28" xfId="0" applyBorder="1" applyAlignment="1">
      <alignment horizontal="left" indent="2"/>
    </xf>
    <xf numFmtId="0" fontId="0" fillId="0" borderId="28" xfId="0" applyFont="1" applyBorder="1" applyAlignment="1">
      <alignment horizontal="left" indent="1"/>
    </xf>
    <xf numFmtId="0" fontId="0" fillId="0" borderId="28" xfId="0" applyFont="1" applyBorder="1" applyAlignment="1">
      <alignment horizontal="left" indent="2"/>
    </xf>
    <xf numFmtId="0" fontId="0" fillId="0" borderId="28" xfId="0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6" xfId="0" applyFont="1" applyBorder="1"/>
    <xf numFmtId="0" fontId="1" fillId="0" borderId="34" xfId="0" applyFont="1" applyBorder="1"/>
    <xf numFmtId="0" fontId="1" fillId="0" borderId="29" xfId="0" applyFont="1" applyBorder="1"/>
    <xf numFmtId="0" fontId="1" fillId="0" borderId="4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7" fontId="0" fillId="0" borderId="20" xfId="0" applyNumberFormat="1" applyBorder="1" applyAlignment="1">
      <alignment horizontal="left" vertical="top"/>
    </xf>
    <xf numFmtId="167" fontId="0" fillId="0" borderId="20" xfId="2" applyNumberFormat="1" applyFont="1" applyBorder="1" applyAlignment="1">
      <alignment horizontal="left"/>
    </xf>
    <xf numFmtId="167" fontId="0" fillId="0" borderId="20" xfId="0" applyNumberFormat="1" applyBorder="1" applyAlignment="1">
      <alignment horizontal="left"/>
    </xf>
    <xf numFmtId="2" fontId="0" fillId="0" borderId="20" xfId="0" applyNumberFormat="1" applyBorder="1"/>
    <xf numFmtId="167" fontId="0" fillId="0" borderId="37" xfId="0" applyNumberFormat="1" applyBorder="1"/>
    <xf numFmtId="167" fontId="0" fillId="0" borderId="53" xfId="0" applyNumberFormat="1" applyBorder="1"/>
    <xf numFmtId="167" fontId="0" fillId="0" borderId="54" xfId="0" applyNumberFormat="1" applyBorder="1"/>
    <xf numFmtId="0" fontId="0" fillId="0" borderId="20" xfId="0" applyBorder="1" applyAlignment="1">
      <alignment horizontal="left"/>
    </xf>
    <xf numFmtId="0" fontId="0" fillId="0" borderId="40" xfId="0" applyBorder="1"/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0" xfId="0" applyAlignment="1">
      <alignment horizontal="left"/>
    </xf>
    <xf numFmtId="0" fontId="0" fillId="2" borderId="8" xfId="0" applyFill="1" applyBorder="1"/>
    <xf numFmtId="0" fontId="0" fillId="2" borderId="2" xfId="0" applyFill="1" applyBorder="1"/>
    <xf numFmtId="0" fontId="1" fillId="0" borderId="2" xfId="0" applyFont="1" applyBorder="1"/>
    <xf numFmtId="0" fontId="1" fillId="0" borderId="5" xfId="0" applyFont="1" applyBorder="1"/>
    <xf numFmtId="169" fontId="0" fillId="0" borderId="20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8">
    <dxf>
      <numFmt numFmtId="167" formatCode="&quot;$&quot;#,##0.0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8" formatCode="0.0%"/>
    </dxf>
    <dxf>
      <numFmt numFmtId="168" formatCode="0.0%"/>
    </dxf>
  </dxfs>
  <tableStyles count="0" defaultTableStyle="TableStyleMedium2" defaultPivotStyle="PivotStyleLight16"/>
  <colors>
    <mruColors>
      <color rgb="FFFC8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16" displayName="Table16" ref="B156:B170" totalsRowShown="0" dataDxfId="7" dataCellStyle="Percent">
  <autoFilter ref="B156:B170" xr:uid="{00000000-0009-0000-0100-000005000000}"/>
  <tableColumns count="1">
    <tableColumn id="1" xr3:uid="{00000000-0010-0000-0000-000001000000}" name="Insurance Rate" dataDxfId="6" dataCellStyle="Perce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e1315" displayName="Table1315" ref="B232:D234" totalsRowShown="0" headerRowDxfId="2">
  <autoFilter ref="B232:D234" xr:uid="{00000000-0009-0000-0100-00000E000000}"/>
  <tableColumns count="3">
    <tableColumn id="3" xr3:uid="{00000000-0010-0000-0900-000003000000}" name="Pyrolysis Type" dataDxfId="1"/>
    <tableColumn id="1" xr3:uid="{00000000-0010-0000-0900-000001000000}" name="Name"/>
    <tableColumn id="2" xr3:uid="{00000000-0010-0000-0900-000002000000}" name="Pric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A000000}" name="Table18" displayName="Table18" ref="B236:D238" totalsRowShown="0">
  <autoFilter ref="B236:D238" xr:uid="{00000000-0009-0000-0100-000011000000}"/>
  <tableColumns count="3">
    <tableColumn id="1" xr3:uid="{00000000-0010-0000-0A00-000001000000}" name="Equipment"/>
    <tableColumn id="2" xr3:uid="{00000000-0010-0000-0A00-000002000000}" name="Name"/>
    <tableColumn id="3" xr3:uid="{00000000-0010-0000-0A00-000003000000}" name="Price" dataDxfId="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le2" displayName="Table2" ref="B148:B151" totalsRowShown="0">
  <autoFilter ref="B148:B151" xr:uid="{00000000-0009-0000-0100-000002000000}"/>
  <tableColumns count="1">
    <tableColumn id="1" xr3:uid="{00000000-0010-0000-0B00-000001000000}" name="Operation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28" displayName="Table28" ref="D156:D171" totalsRowShown="0" dataDxfId="5" dataCellStyle="Percent">
  <autoFilter ref="D156:D171" xr:uid="{00000000-0009-0000-0100-000007000000}"/>
  <tableColumns count="1">
    <tableColumn id="1" xr3:uid="{00000000-0010-0000-0100-000001000000}" name="Interest Rate" dataDxfId="4" dataCellStyle="Perc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39" displayName="Table39" ref="F156:F158" totalsRowShown="0">
  <autoFilter ref="F156:F158" xr:uid="{00000000-0009-0000-0100-000008000000}"/>
  <tableColumns count="1">
    <tableColumn id="1" xr3:uid="{00000000-0010-0000-0200-000001000000}" name="Payment Perio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B174:B178" totalsRowShown="0">
  <autoFilter ref="B174:B178" xr:uid="{00000000-0009-0000-0100-000001000000}"/>
  <tableColumns count="1">
    <tableColumn id="1" xr3:uid="{00000000-0010-0000-0300-000001000000}" name="Horizontal Grinder or Screener Hour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B180:B185" totalsRowShown="0">
  <autoFilter ref="B180:B185" xr:uid="{00000000-0009-0000-0100-000003000000}"/>
  <tableColumns count="1">
    <tableColumn id="1" xr3:uid="{00000000-0010-0000-0400-000001000000}" name="Utility Tractor Hour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4" displayName="Table4" ref="B187:B191" totalsRowShown="0">
  <autoFilter ref="B187:B191" xr:uid="{00000000-0009-0000-0100-000004000000}"/>
  <tableColumns count="1">
    <tableColumn id="1" xr3:uid="{00000000-0010-0000-0500-000001000000}" name="Biochar Bagging Equipment Hour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B193:B196" totalsRowShown="0">
  <autoFilter ref="B193:B196" xr:uid="{00000000-0009-0000-0100-000006000000}"/>
  <tableColumns count="1">
    <tableColumn id="1" xr3:uid="{00000000-0010-0000-0600-000001000000}" name="Hours Worked Per Da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B198:B224" totalsRowShown="0">
  <autoFilter ref="B198:B224" xr:uid="{00000000-0009-0000-0100-000009000000}"/>
  <tableColumns count="1">
    <tableColumn id="1" xr3:uid="{00000000-0010-0000-0700-000001000000}" name="Technical Availability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B226:B229" totalsRowShown="0">
  <autoFilter ref="B226:B229" xr:uid="{00000000-0009-0000-0100-00000A000000}"/>
  <tableColumns count="1">
    <tableColumn id="1" xr3:uid="{00000000-0010-0000-0800-000001000000}" name="Number of Employe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5"/>
  <sheetViews>
    <sheetView tabSelected="1" workbookViewId="0">
      <pane ySplit="4" topLeftCell="A5" activePane="bottomLeft" state="frozen"/>
      <selection pane="bottomLeft" activeCell="F14" sqref="F14"/>
    </sheetView>
  </sheetViews>
  <sheetFormatPr defaultRowHeight="14.4" x14ac:dyDescent="0.55000000000000004"/>
  <cols>
    <col min="2" max="2" width="32.41796875" bestFit="1" customWidth="1"/>
    <col min="3" max="3" width="45.26171875" bestFit="1" customWidth="1"/>
    <col min="6" max="6" width="11.15625" bestFit="1" customWidth="1"/>
    <col min="7" max="7" width="12.68359375" bestFit="1" customWidth="1"/>
    <col min="8" max="8" width="11.15625" bestFit="1" customWidth="1"/>
    <col min="9" max="9" width="10.68359375" customWidth="1"/>
    <col min="10" max="10" width="12" bestFit="1" customWidth="1"/>
    <col min="11" max="11" width="14.41796875" customWidth="1"/>
    <col min="12" max="12" width="11.15625" bestFit="1" customWidth="1"/>
    <col min="13" max="13" width="12.41796875" bestFit="1" customWidth="1"/>
    <col min="14" max="16" width="12.41796875" customWidth="1"/>
    <col min="17" max="17" width="11.15625" bestFit="1" customWidth="1"/>
    <col min="18" max="18" width="11.26171875" bestFit="1" customWidth="1"/>
    <col min="19" max="19" width="12.68359375" bestFit="1" customWidth="1"/>
    <col min="20" max="20" width="12.26171875" customWidth="1"/>
    <col min="21" max="21" width="11.26171875" customWidth="1"/>
    <col min="23" max="23" width="13.68359375" bestFit="1" customWidth="1"/>
    <col min="24" max="24" width="20.26171875" bestFit="1" customWidth="1"/>
  </cols>
  <sheetData>
    <row r="1" spans="2:24" ht="14.7" thickBot="1" x14ac:dyDescent="0.6"/>
    <row r="2" spans="2:24" ht="14.7" thickBot="1" x14ac:dyDescent="0.6">
      <c r="B2" s="181" t="s">
        <v>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3"/>
      <c r="V2" s="1"/>
      <c r="W2" s="175" t="s">
        <v>192</v>
      </c>
      <c r="X2" s="176" t="s">
        <v>203</v>
      </c>
    </row>
    <row r="3" spans="2:24" ht="14.7" thickBot="1" x14ac:dyDescent="0.6">
      <c r="B3" s="178" t="s">
        <v>1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80"/>
      <c r="V3" s="1"/>
      <c r="W3" s="174" t="s">
        <v>180</v>
      </c>
      <c r="X3" s="173" t="s">
        <v>205</v>
      </c>
    </row>
    <row r="4" spans="2:24" s="22" customFormat="1" ht="29.1" thickBot="1" x14ac:dyDescent="0.6"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20" t="s">
        <v>8</v>
      </c>
      <c r="I4" s="20" t="s">
        <v>9</v>
      </c>
      <c r="J4" s="20" t="s">
        <v>10</v>
      </c>
      <c r="K4" s="20" t="s">
        <v>64</v>
      </c>
      <c r="L4" s="20" t="s">
        <v>70</v>
      </c>
      <c r="M4" s="19" t="s">
        <v>11</v>
      </c>
      <c r="N4" s="20" t="s">
        <v>221</v>
      </c>
      <c r="O4" s="20" t="s">
        <v>67</v>
      </c>
      <c r="P4" s="20" t="s">
        <v>68</v>
      </c>
      <c r="Q4" s="19" t="s">
        <v>12</v>
      </c>
      <c r="R4" s="19" t="s">
        <v>42</v>
      </c>
      <c r="S4" s="20" t="s">
        <v>71</v>
      </c>
      <c r="T4" s="20" t="s">
        <v>13</v>
      </c>
      <c r="U4" s="20" t="s">
        <v>14</v>
      </c>
      <c r="V4" s="21"/>
    </row>
    <row r="5" spans="2:24" ht="14.7" thickBot="1" x14ac:dyDescent="0.6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2:24" x14ac:dyDescent="0.55000000000000004">
      <c r="B6" s="14" t="s">
        <v>30</v>
      </c>
      <c r="C6" s="10"/>
      <c r="D6" s="10"/>
      <c r="E6" s="10"/>
      <c r="F6" s="10"/>
      <c r="G6" s="10"/>
      <c r="H6" s="10"/>
      <c r="I6" s="10"/>
      <c r="J6" s="10"/>
      <c r="K6" s="10"/>
      <c r="L6" s="5"/>
      <c r="M6" s="5"/>
      <c r="N6" s="5"/>
      <c r="O6" s="5"/>
      <c r="P6" s="5"/>
      <c r="Q6" s="5"/>
      <c r="R6" s="5"/>
      <c r="S6" s="5"/>
      <c r="T6" s="5"/>
      <c r="U6" s="6"/>
    </row>
    <row r="7" spans="2:24" x14ac:dyDescent="0.55000000000000004">
      <c r="B7" s="37" t="s">
        <v>16</v>
      </c>
      <c r="C7" s="40" t="s">
        <v>45</v>
      </c>
      <c r="D7" s="40">
        <v>1</v>
      </c>
      <c r="E7" s="40">
        <v>1</v>
      </c>
      <c r="F7" s="124">
        <v>59230</v>
      </c>
      <c r="G7" s="124">
        <f>F7*E7</f>
        <v>59230</v>
      </c>
      <c r="H7" s="124">
        <f>G7*Data!C47</f>
        <v>15631.765322741159</v>
      </c>
      <c r="I7" s="40">
        <v>10</v>
      </c>
      <c r="J7" s="124">
        <f>Data!F71*I7*E7</f>
        <v>14443.952091276111</v>
      </c>
      <c r="K7" s="34">
        <v>0.01</v>
      </c>
      <c r="L7" s="124">
        <f>K7*G7*10</f>
        <v>5923.0000000000009</v>
      </c>
      <c r="M7" s="124">
        <f>(G7-H7)</f>
        <v>43598.234677258843</v>
      </c>
      <c r="N7" s="34">
        <v>0.06</v>
      </c>
      <c r="O7" s="32">
        <v>10</v>
      </c>
      <c r="P7" s="124">
        <f>PMT(N7/12,O7*12,G7+R7)*(-1)</f>
        <v>756.21059795044812</v>
      </c>
      <c r="Q7" s="124">
        <f>(P7*12*O7)-(G7+R7)</f>
        <v>22630.771754053771</v>
      </c>
      <c r="R7" s="124">
        <f>G7*0.15</f>
        <v>8884.5</v>
      </c>
      <c r="S7" s="124">
        <f>SUM(J7,L7,M7,Q7,R7)</f>
        <v>95480.458522588728</v>
      </c>
      <c r="T7" s="124">
        <f>S7/10</f>
        <v>9548.0458522588724</v>
      </c>
      <c r="U7" s="25">
        <f>T7/(Data!$C$43*Parameters!$E$15)/Parameters!$D$15</f>
        <v>22.924479837356238</v>
      </c>
    </row>
    <row r="8" spans="2:24" x14ac:dyDescent="0.55000000000000004">
      <c r="B8" s="38" t="s">
        <v>25</v>
      </c>
      <c r="C8" s="41" t="s">
        <v>136</v>
      </c>
      <c r="D8" s="41">
        <v>1</v>
      </c>
      <c r="E8" s="41">
        <v>1</v>
      </c>
      <c r="F8" s="87">
        <v>15364</v>
      </c>
      <c r="G8" s="87">
        <f t="shared" ref="G8:G16" si="0">F8*E8</f>
        <v>15364</v>
      </c>
      <c r="H8" s="87">
        <f>G8*Data!C48</f>
        <v>5384.2956851432546</v>
      </c>
      <c r="I8" s="41">
        <v>10</v>
      </c>
      <c r="J8" s="87">
        <f>Data!F77*I8*E8</f>
        <v>7927.6051251455483</v>
      </c>
      <c r="K8" s="34">
        <v>0.01</v>
      </c>
      <c r="L8" s="87">
        <f t="shared" ref="L8:L16" si="1">K8*G8*10</f>
        <v>1536.4</v>
      </c>
      <c r="M8" s="87">
        <f t="shared" ref="M8:M16" si="2">(G8-H8)</f>
        <v>9979.7043148567464</v>
      </c>
      <c r="N8" s="34">
        <v>0.06</v>
      </c>
      <c r="O8" s="32">
        <v>10</v>
      </c>
      <c r="P8" s="87">
        <f t="shared" ref="P8:P16" si="3">PMT(N8/12,O8*12,G8+R8)*(-1)</f>
        <v>196.1576840606227</v>
      </c>
      <c r="Q8" s="87">
        <f t="shared" ref="Q8:Q16" si="4">(P8*12*O8)-(G8+R8)</f>
        <v>5870.3220872747261</v>
      </c>
      <c r="R8" s="87">
        <f t="shared" ref="R8:R16" si="5">G8*0.15</f>
        <v>2304.6</v>
      </c>
      <c r="S8" s="87">
        <f t="shared" ref="S8:S16" si="6">SUM(J8,L8,M8,Q8,R8)</f>
        <v>27618.631527277019</v>
      </c>
      <c r="T8" s="87">
        <f>S8/10</f>
        <v>2761.8631527277021</v>
      </c>
      <c r="U8" s="26">
        <f>T8/(Data!$C$43*Parameters!$E$15)/Parameters!$D$15</f>
        <v>6.6311240161529463</v>
      </c>
    </row>
    <row r="9" spans="2:24" x14ac:dyDescent="0.55000000000000004">
      <c r="B9" s="38" t="s">
        <v>41</v>
      </c>
      <c r="C9" s="41" t="str">
        <f>IF(C13=Data!C233, "Stihl MS 661 C-M VW R", "None")</f>
        <v>Stihl MS 661 C-M VW R</v>
      </c>
      <c r="D9" s="41">
        <f>IF(C9="Stihl MS 661 C-M VW R", 1, 0)</f>
        <v>1</v>
      </c>
      <c r="E9" s="41">
        <f>IF(C9="Stihl MS 661 C-M VW R", 2, 0)</f>
        <v>2</v>
      </c>
      <c r="F9" s="87">
        <f>IF(C9="Stihl MS 661 C-M VW R", 1569.95, 0)</f>
        <v>1569.95</v>
      </c>
      <c r="G9" s="87">
        <f>F9*E9</f>
        <v>3139.9</v>
      </c>
      <c r="H9" s="87">
        <f>G9*Data!C49</f>
        <v>0</v>
      </c>
      <c r="I9" s="83">
        <f>IF(C9="Stihl MS 661 C-M VW R", 5, 0)</f>
        <v>5</v>
      </c>
      <c r="J9" s="87">
        <f>IF(E9&gt;0, Data!I83*I9*E9, 0)</f>
        <v>21465.743200000004</v>
      </c>
      <c r="K9" s="34">
        <v>0.01</v>
      </c>
      <c r="L9" s="87">
        <f t="shared" si="1"/>
        <v>313.99</v>
      </c>
      <c r="M9" s="87">
        <f>(G9-H9)</f>
        <v>3139.9</v>
      </c>
      <c r="N9" s="34">
        <v>0.06</v>
      </c>
      <c r="O9" s="32">
        <v>10</v>
      </c>
      <c r="P9" s="87">
        <f t="shared" si="3"/>
        <v>40.088226515357285</v>
      </c>
      <c r="Q9" s="87">
        <f t="shared" si="4"/>
        <v>1199.7021818428739</v>
      </c>
      <c r="R9" s="87">
        <f t="shared" si="5"/>
        <v>470.98500000000001</v>
      </c>
      <c r="S9" s="87">
        <f t="shared" si="6"/>
        <v>26590.320381842881</v>
      </c>
      <c r="T9" s="87">
        <f t="shared" ref="T9:T16" si="7">S9/10</f>
        <v>2659.032038184288</v>
      </c>
      <c r="U9" s="26">
        <f>T9/(Data!$C$43*Parameters!$E$15)/Parameters!$D$15</f>
        <v>6.3842305838758415</v>
      </c>
    </row>
    <row r="10" spans="2:24" x14ac:dyDescent="0.55000000000000004">
      <c r="B10" s="38" t="s">
        <v>134</v>
      </c>
      <c r="C10" s="83" t="s">
        <v>133</v>
      </c>
      <c r="D10" s="83">
        <v>1</v>
      </c>
      <c r="E10" s="83">
        <v>1</v>
      </c>
      <c r="F10" s="86">
        <v>467496</v>
      </c>
      <c r="G10" s="87">
        <f t="shared" si="0"/>
        <v>467496</v>
      </c>
      <c r="H10" s="87">
        <f>G10*Data!C50</f>
        <v>93499.200000000012</v>
      </c>
      <c r="I10" s="83">
        <v>10</v>
      </c>
      <c r="J10" s="87">
        <f>Data!C87*I10*E10</f>
        <v>373996.79999999999</v>
      </c>
      <c r="K10" s="34">
        <v>0.01</v>
      </c>
      <c r="L10" s="87">
        <f t="shared" si="1"/>
        <v>46749.599999999999</v>
      </c>
      <c r="M10" s="87">
        <f t="shared" si="2"/>
        <v>373996.79999999999</v>
      </c>
      <c r="N10" s="34">
        <v>0.06</v>
      </c>
      <c r="O10" s="32">
        <v>10</v>
      </c>
      <c r="P10" s="87">
        <f t="shared" si="3"/>
        <v>5968.6886662070347</v>
      </c>
      <c r="Q10" s="87">
        <f t="shared" si="4"/>
        <v>178622.23994484416</v>
      </c>
      <c r="R10" s="87">
        <f t="shared" si="5"/>
        <v>70124.399999999994</v>
      </c>
      <c r="S10" s="87">
        <f t="shared" si="6"/>
        <v>1043489.8399448441</v>
      </c>
      <c r="T10" s="87">
        <f t="shared" si="7"/>
        <v>104348.98399448441</v>
      </c>
      <c r="U10" s="26">
        <f>T10/(Data!$C$43*Parameters!$E$15)/Parameters!$D$15</f>
        <v>250.53777669744156</v>
      </c>
    </row>
    <row r="11" spans="2:24" x14ac:dyDescent="0.55000000000000004">
      <c r="B11" s="38" t="s">
        <v>173</v>
      </c>
      <c r="C11" s="83" t="str">
        <f>IF(C13=Data!C233, "None", Data!C237)</f>
        <v>None</v>
      </c>
      <c r="D11" s="83">
        <f>IF(C11="2017 Revolver RT508", 1, 0)</f>
        <v>0</v>
      </c>
      <c r="E11" s="83">
        <f>IF(C11="2017 Revolver RT508", 1, 0)</f>
        <v>0</v>
      </c>
      <c r="F11" s="86">
        <f>IF(C11="None", 0, Data!D237)</f>
        <v>0</v>
      </c>
      <c r="G11" s="87">
        <f t="shared" si="0"/>
        <v>0</v>
      </c>
      <c r="H11" s="87">
        <f>G11*Data!C51</f>
        <v>0</v>
      </c>
      <c r="I11" s="126">
        <f>IF(C11="2017 Revolver RT508", 10, 0)</f>
        <v>0</v>
      </c>
      <c r="J11" s="87">
        <f>IF(E11&gt;0, Data!C88*I11*E11, 0)</f>
        <v>0</v>
      </c>
      <c r="K11" s="34">
        <v>0.01</v>
      </c>
      <c r="L11" s="87">
        <f t="shared" si="1"/>
        <v>0</v>
      </c>
      <c r="M11" s="87">
        <f t="shared" si="2"/>
        <v>0</v>
      </c>
      <c r="N11" s="34">
        <v>0.06</v>
      </c>
      <c r="O11" s="32">
        <v>10</v>
      </c>
      <c r="P11" s="87">
        <f t="shared" si="3"/>
        <v>0</v>
      </c>
      <c r="Q11" s="87">
        <f t="shared" si="4"/>
        <v>0</v>
      </c>
      <c r="R11" s="87">
        <f t="shared" si="5"/>
        <v>0</v>
      </c>
      <c r="S11" s="87">
        <f t="shared" si="6"/>
        <v>0</v>
      </c>
      <c r="T11" s="87">
        <f t="shared" si="7"/>
        <v>0</v>
      </c>
      <c r="U11" s="26">
        <f>T11/(Data!$C$43*Parameters!$E$15)/Parameters!$D$15</f>
        <v>0</v>
      </c>
    </row>
    <row r="12" spans="2:24" x14ac:dyDescent="0.55000000000000004">
      <c r="B12" s="38" t="s">
        <v>131</v>
      </c>
      <c r="C12" s="83" t="s">
        <v>132</v>
      </c>
      <c r="D12" s="83">
        <v>1</v>
      </c>
      <c r="E12" s="83">
        <v>1</v>
      </c>
      <c r="F12" s="15">
        <v>146943.08300000001</v>
      </c>
      <c r="G12" s="87">
        <f t="shared" si="0"/>
        <v>146943.08300000001</v>
      </c>
      <c r="H12" s="87">
        <f>G12*Data!C52</f>
        <v>53028.005367354563</v>
      </c>
      <c r="I12" s="83">
        <v>10</v>
      </c>
      <c r="J12" s="87">
        <f>Data!C89*I12*E12</f>
        <v>84523.569869380895</v>
      </c>
      <c r="K12" s="34">
        <v>0.01</v>
      </c>
      <c r="L12" s="87">
        <f t="shared" si="1"/>
        <v>14694.308300000002</v>
      </c>
      <c r="M12" s="87">
        <f t="shared" si="2"/>
        <v>93915.077632645451</v>
      </c>
      <c r="N12" s="34">
        <v>0.06</v>
      </c>
      <c r="O12" s="32">
        <v>10</v>
      </c>
      <c r="P12" s="87">
        <f t="shared" si="3"/>
        <v>1876.0749056240475</v>
      </c>
      <c r="Q12" s="87">
        <f t="shared" si="4"/>
        <v>56144.443224885705</v>
      </c>
      <c r="R12" s="87">
        <f t="shared" si="5"/>
        <v>22041.462450000003</v>
      </c>
      <c r="S12" s="87">
        <f t="shared" si="6"/>
        <v>271318.86147691205</v>
      </c>
      <c r="T12" s="87">
        <f t="shared" si="7"/>
        <v>27131.886147691206</v>
      </c>
      <c r="U12" s="26">
        <f>T12/(Data!$C$43*Parameters!$E$15)/Parameters!$D$15</f>
        <v>65.14258378797409</v>
      </c>
    </row>
    <row r="13" spans="2:24" x14ac:dyDescent="0.55000000000000004">
      <c r="B13" s="38" t="s">
        <v>29</v>
      </c>
      <c r="C13" s="83" t="str">
        <f>IF('Biochar Fixed Costs'!W3=Data!B233, Data!C233, Data!C234)</f>
        <v>CharMaker (Slow)</v>
      </c>
      <c r="D13" s="41">
        <v>1</v>
      </c>
      <c r="E13" s="41">
        <v>1</v>
      </c>
      <c r="F13" s="87">
        <f>IF(C13=Data!C233,Data!D233,Data!D234)</f>
        <v>256501.33067092701</v>
      </c>
      <c r="G13" s="87">
        <f t="shared" si="0"/>
        <v>256501.33067092701</v>
      </c>
      <c r="H13" s="87">
        <f>G13*Data!C53</f>
        <v>25650.133067092702</v>
      </c>
      <c r="I13" s="41">
        <v>10</v>
      </c>
      <c r="J13" s="87">
        <f>Data!C90*I13*E13</f>
        <v>38475.199600639047</v>
      </c>
      <c r="K13" s="34">
        <v>0.01</v>
      </c>
      <c r="L13" s="87">
        <f t="shared" si="1"/>
        <v>25650.133067092702</v>
      </c>
      <c r="M13" s="87">
        <f t="shared" si="2"/>
        <v>230851.1976038343</v>
      </c>
      <c r="N13" s="34">
        <v>0.06</v>
      </c>
      <c r="O13" s="32">
        <v>10</v>
      </c>
      <c r="P13" s="87">
        <f t="shared" si="3"/>
        <v>3274.8442451755418</v>
      </c>
      <c r="Q13" s="87">
        <f t="shared" si="4"/>
        <v>98004.779149498965</v>
      </c>
      <c r="R13" s="87">
        <f t="shared" si="5"/>
        <v>38475.199600639047</v>
      </c>
      <c r="S13" s="87">
        <f t="shared" si="6"/>
        <v>431456.50902170409</v>
      </c>
      <c r="T13" s="87">
        <f t="shared" si="7"/>
        <v>43145.650902170411</v>
      </c>
      <c r="U13" s="26">
        <f>T13/(Data!$C$43*Parameters!$E$15)/Parameters!$D$15</f>
        <v>103.59099856463484</v>
      </c>
    </row>
    <row r="14" spans="2:24" x14ac:dyDescent="0.55000000000000004">
      <c r="B14" s="38" t="s">
        <v>200</v>
      </c>
      <c r="C14" s="83" t="str">
        <f>IF(C13=Data!C233, "None", Data!C238)</f>
        <v>None</v>
      </c>
      <c r="D14" s="83">
        <f>IF(C14="John Deere Tractor Engine", 1, 0)</f>
        <v>0</v>
      </c>
      <c r="E14" s="83">
        <f>IF(C14="John Deere Tractor Engine", 1, 0)</f>
        <v>0</v>
      </c>
      <c r="F14" s="87">
        <f>IF(C14="None", 0, Data!D238)</f>
        <v>0</v>
      </c>
      <c r="G14" s="87">
        <f t="shared" si="0"/>
        <v>0</v>
      </c>
      <c r="H14" s="87">
        <f>G14*Data!C54</f>
        <v>0</v>
      </c>
      <c r="I14" s="41">
        <f>IF(C14="John Deere Tractor Engine", 10, 0)</f>
        <v>0</v>
      </c>
      <c r="J14" s="87">
        <f>IF(E14&gt;0, Data!C91*I14*E14, 0)</f>
        <v>0</v>
      </c>
      <c r="K14" s="34">
        <v>0.01</v>
      </c>
      <c r="L14" s="87">
        <f t="shared" si="1"/>
        <v>0</v>
      </c>
      <c r="M14" s="87">
        <f t="shared" si="2"/>
        <v>0</v>
      </c>
      <c r="N14" s="34">
        <v>0.06</v>
      </c>
      <c r="O14" s="32">
        <v>10</v>
      </c>
      <c r="P14" s="87">
        <f t="shared" si="3"/>
        <v>0</v>
      </c>
      <c r="Q14" s="87">
        <f t="shared" si="4"/>
        <v>0</v>
      </c>
      <c r="R14" s="87">
        <f t="shared" si="5"/>
        <v>0</v>
      </c>
      <c r="S14" s="87">
        <f t="shared" si="6"/>
        <v>0</v>
      </c>
      <c r="T14" s="87">
        <f t="shared" si="7"/>
        <v>0</v>
      </c>
      <c r="U14" s="26">
        <f>T14/(Data!$C$43*Parameters!$E$15)/Parameters!$D$15</f>
        <v>0</v>
      </c>
    </row>
    <row r="15" spans="2:24" x14ac:dyDescent="0.55000000000000004">
      <c r="B15" s="38" t="s">
        <v>201</v>
      </c>
      <c r="C15" s="83" t="str">
        <f>IF(C24="None", "None", "Kubota 9,875 Watt Diesel Generator")</f>
        <v>None</v>
      </c>
      <c r="D15" s="83">
        <f>IF(C15="Kubota 9,875 Watt Diesel Generator", 1, 0)</f>
        <v>0</v>
      </c>
      <c r="E15" s="83">
        <f>IF(C15="Kubota 9,875 Watt Diesel Generator", 1, 0)</f>
        <v>0</v>
      </c>
      <c r="F15" s="87">
        <f>IF(C15="None", 0, 11025.114)</f>
        <v>0</v>
      </c>
      <c r="G15" s="87">
        <f t="shared" si="0"/>
        <v>0</v>
      </c>
      <c r="H15" s="87">
        <f>G15*Data!C55</f>
        <v>0</v>
      </c>
      <c r="I15" s="41">
        <f>IF(C15="Kubota 9,875 Watt Diesel Generator", 10, 0)</f>
        <v>0</v>
      </c>
      <c r="J15" s="87">
        <f>IF(E15&gt;0, Data!C92*I15*E15, 0)</f>
        <v>0</v>
      </c>
      <c r="K15" s="34">
        <v>0.01</v>
      </c>
      <c r="L15" s="87">
        <f>K15*G15*10</f>
        <v>0</v>
      </c>
      <c r="M15" s="87">
        <f>(G15-H15)</f>
        <v>0</v>
      </c>
      <c r="N15" s="34">
        <v>0.06</v>
      </c>
      <c r="O15" s="32">
        <v>10</v>
      </c>
      <c r="P15" s="87">
        <f>PMT(N15/12,O15*12,G15+R15)*(-1)</f>
        <v>0</v>
      </c>
      <c r="Q15" s="87">
        <f>(P15*12*O15)-(G15+R15)</f>
        <v>0</v>
      </c>
      <c r="R15" s="87">
        <f>G15*0.15</f>
        <v>0</v>
      </c>
      <c r="S15" s="87">
        <f>SUM(J15,L15,M15,Q15,R15)</f>
        <v>0</v>
      </c>
      <c r="T15" s="87">
        <f>S15/10</f>
        <v>0</v>
      </c>
      <c r="U15" s="26">
        <f>T15/(Data!$C$43*Parameters!$E$15)/Parameters!$D$15</f>
        <v>0</v>
      </c>
    </row>
    <row r="16" spans="2:24" x14ac:dyDescent="0.55000000000000004">
      <c r="B16" s="38" t="s">
        <v>107</v>
      </c>
      <c r="C16" s="83" t="s">
        <v>105</v>
      </c>
      <c r="D16" s="83">
        <v>1</v>
      </c>
      <c r="E16" s="83">
        <v>1</v>
      </c>
      <c r="F16" s="87">
        <v>62018.80566951332</v>
      </c>
      <c r="G16" s="87">
        <f t="shared" si="0"/>
        <v>62018.80566951332</v>
      </c>
      <c r="H16" s="87">
        <f>G16*Data!C56</f>
        <v>12403.761133902664</v>
      </c>
      <c r="I16" s="41">
        <v>10</v>
      </c>
      <c r="J16" s="87">
        <f>Data!C93*I16*E16</f>
        <v>14884.513360683197</v>
      </c>
      <c r="K16" s="34">
        <v>0.01</v>
      </c>
      <c r="L16" s="87">
        <f t="shared" si="1"/>
        <v>6201.8805669513322</v>
      </c>
      <c r="M16" s="87">
        <f t="shared" si="2"/>
        <v>49615.044535610657</v>
      </c>
      <c r="N16" s="34">
        <v>0.06</v>
      </c>
      <c r="O16" s="32">
        <v>10</v>
      </c>
      <c r="P16" s="87">
        <f t="shared" si="3"/>
        <v>791.81627755386307</v>
      </c>
      <c r="Q16" s="87">
        <f t="shared" si="4"/>
        <v>23696.326786523263</v>
      </c>
      <c r="R16" s="87">
        <f t="shared" si="5"/>
        <v>9302.8208504269969</v>
      </c>
      <c r="S16" s="87">
        <f t="shared" si="6"/>
        <v>103700.58610019545</v>
      </c>
      <c r="T16" s="87">
        <f t="shared" si="7"/>
        <v>10370.058610019545</v>
      </c>
      <c r="U16" s="26">
        <f>T16/(Data!$C$43*Parameters!$E$15)/Parameters!$D$15</f>
        <v>24.898099904008511</v>
      </c>
    </row>
    <row r="17" spans="2:21" ht="14.7" thickBot="1" x14ac:dyDescent="0.6">
      <c r="B17" s="73" t="s">
        <v>31</v>
      </c>
      <c r="C17" s="123"/>
      <c r="D17" s="123"/>
      <c r="E17" s="123"/>
      <c r="F17" s="125"/>
      <c r="G17" s="125">
        <f>SUM(G7:G16)</f>
        <v>1010693.1193404403</v>
      </c>
      <c r="H17" s="125">
        <f>SUM(H7:H16)</f>
        <v>205597.1605762344</v>
      </c>
      <c r="I17" s="123"/>
      <c r="J17" s="125">
        <f>SUM(J7:J16)</f>
        <v>555717.38324712485</v>
      </c>
      <c r="K17" s="123"/>
      <c r="L17" s="125">
        <f>SUM(L7:L16)</f>
        <v>101069.31193404403</v>
      </c>
      <c r="M17" s="125">
        <f>SUM(M7:M16)</f>
        <v>805095.95876420604</v>
      </c>
      <c r="N17" s="123"/>
      <c r="O17" s="123"/>
      <c r="P17" s="125">
        <f t="shared" ref="P17:U17" si="8">SUM(P7:P16)</f>
        <v>12903.880603086916</v>
      </c>
      <c r="Q17" s="125">
        <f t="shared" si="8"/>
        <v>386168.58512892347</v>
      </c>
      <c r="R17" s="125">
        <f t="shared" si="8"/>
        <v>151603.96790106606</v>
      </c>
      <c r="S17" s="125">
        <f t="shared" si="8"/>
        <v>1999655.2069753646</v>
      </c>
      <c r="T17" s="125">
        <f t="shared" si="8"/>
        <v>199965.52069753644</v>
      </c>
      <c r="U17" s="24">
        <f t="shared" si="8"/>
        <v>480.10929339144406</v>
      </c>
    </row>
    <row r="18" spans="2:21" ht="14.7" thickBot="1" x14ac:dyDescent="0.6"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</row>
    <row r="19" spans="2:21" ht="14.7" thickBot="1" x14ac:dyDescent="0.6">
      <c r="B19" s="12" t="s">
        <v>219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3"/>
    </row>
    <row r="20" spans="2:21" x14ac:dyDescent="0.55000000000000004">
      <c r="B20" s="127" t="s">
        <v>174</v>
      </c>
      <c r="C20" s="128"/>
      <c r="D20" s="128">
        <v>1</v>
      </c>
      <c r="E20" s="128">
        <v>1</v>
      </c>
      <c r="F20" s="129">
        <f>IF(C13=Data!C233, Data!C142, Data!C143)</f>
        <v>5380.7040000000006</v>
      </c>
      <c r="G20" s="130">
        <f>F20*E20</f>
        <v>5380.7040000000006</v>
      </c>
      <c r="H20" s="128" t="s">
        <v>120</v>
      </c>
      <c r="I20" s="128" t="s">
        <v>120</v>
      </c>
      <c r="J20" s="128" t="s">
        <v>120</v>
      </c>
      <c r="K20" s="131" t="s">
        <v>120</v>
      </c>
      <c r="L20" s="131" t="s">
        <v>120</v>
      </c>
      <c r="M20" s="131" t="s">
        <v>120</v>
      </c>
      <c r="N20" s="33">
        <v>0.06</v>
      </c>
      <c r="O20" s="128">
        <v>10</v>
      </c>
      <c r="P20" s="129">
        <f>PMT(N20/12,O20*12,G20)*(-1)</f>
        <v>59.736845887944099</v>
      </c>
      <c r="Q20" s="130">
        <f>(P20*12*O20)-G20</f>
        <v>1787.7175065532911</v>
      </c>
      <c r="R20" s="128" t="s">
        <v>120</v>
      </c>
      <c r="S20" s="130">
        <f>SUM(G20,Q20)</f>
        <v>7168.4215065532917</v>
      </c>
      <c r="T20" s="130">
        <f>S20/10</f>
        <v>716.84215065532919</v>
      </c>
      <c r="U20" s="26">
        <f>T20/(Data!$C$43*Parameters!$E$15)/Parameters!$D$15</f>
        <v>1.7211096054149559</v>
      </c>
    </row>
    <row r="21" spans="2:21" x14ac:dyDescent="0.55000000000000004">
      <c r="B21" s="38" t="s">
        <v>46</v>
      </c>
      <c r="C21" s="41"/>
      <c r="D21" s="41">
        <v>1</v>
      </c>
      <c r="E21" s="41">
        <v>10</v>
      </c>
      <c r="F21" s="87">
        <v>10000</v>
      </c>
      <c r="G21" s="87">
        <f>F21*E21</f>
        <v>100000</v>
      </c>
      <c r="H21" s="41" t="s">
        <v>120</v>
      </c>
      <c r="I21" s="41" t="s">
        <v>120</v>
      </c>
      <c r="J21" s="41" t="s">
        <v>120</v>
      </c>
      <c r="K21" s="83" t="s">
        <v>120</v>
      </c>
      <c r="L21" s="83" t="s">
        <v>120</v>
      </c>
      <c r="M21" s="83" t="s">
        <v>120</v>
      </c>
      <c r="N21" s="81">
        <v>0</v>
      </c>
      <c r="O21" s="41">
        <v>10</v>
      </c>
      <c r="P21" s="42">
        <f>PMT(N21/12,O21*12,G21)*(-1)</f>
        <v>833.33333333333337</v>
      </c>
      <c r="Q21" s="87">
        <f>(P21*12*O21)-G21</f>
        <v>0</v>
      </c>
      <c r="R21" s="41" t="s">
        <v>120</v>
      </c>
      <c r="S21" s="87">
        <f>SUM(G21,Q21)</f>
        <v>100000</v>
      </c>
      <c r="T21" s="87">
        <f t="shared" ref="T21:T27" si="9">S21/10</f>
        <v>10000</v>
      </c>
      <c r="U21" s="26">
        <f>T21/(Data!$C$43*Parameters!$E$15)/Parameters!$D$15</f>
        <v>24.009603841536613</v>
      </c>
    </row>
    <row r="22" spans="2:21" x14ac:dyDescent="0.55000000000000004">
      <c r="B22" s="38" t="s">
        <v>118</v>
      </c>
      <c r="C22" s="41"/>
      <c r="D22" s="41">
        <v>1</v>
      </c>
      <c r="E22" s="41">
        <v>1</v>
      </c>
      <c r="F22" s="87">
        <v>2986.7799999999997</v>
      </c>
      <c r="G22" s="87">
        <f t="shared" ref="G22:G27" si="10">F22*E22</f>
        <v>2986.7799999999997</v>
      </c>
      <c r="H22" s="87">
        <f>G22*Data!C57</f>
        <v>597.35599999999999</v>
      </c>
      <c r="I22" s="41">
        <v>10</v>
      </c>
      <c r="J22" s="87">
        <f>Data!C94*'Biochar Fixed Costs'!I22*'Biochar Fixed Costs'!E22</f>
        <v>716.82719999999995</v>
      </c>
      <c r="K22" s="34">
        <v>0.01</v>
      </c>
      <c r="L22" s="87">
        <f t="shared" ref="L22:L27" si="11">K22*G22*10</f>
        <v>298.678</v>
      </c>
      <c r="M22" s="87">
        <f t="shared" ref="M22:M27" si="12">(G22-H22)</f>
        <v>2389.424</v>
      </c>
      <c r="N22" s="33">
        <v>0.06</v>
      </c>
      <c r="O22" s="32">
        <v>10</v>
      </c>
      <c r="P22" s="87">
        <f t="shared" ref="P22:P27" si="13">PMT(N22/12,O22*12,G22+R22)*(-1)</f>
        <v>38.13328870076716</v>
      </c>
      <c r="Q22" s="87">
        <f t="shared" ref="Q22:Q27" si="14">(P22*12*O22)-(G22+R22)</f>
        <v>1141.1976440920598</v>
      </c>
      <c r="R22" s="87">
        <f t="shared" ref="R22:R27" si="15">G22*0.15</f>
        <v>448.01699999999994</v>
      </c>
      <c r="S22" s="87">
        <f t="shared" ref="S22:S27" si="16">SUM(J22,L22,M22,Q22,R22)</f>
        <v>4994.1438440920592</v>
      </c>
      <c r="T22" s="87">
        <f t="shared" si="9"/>
        <v>499.41438440920592</v>
      </c>
      <c r="U22" s="26">
        <f>T22/(Data!$C$43*Parameters!$E$15)/Parameters!$D$15</f>
        <v>1.1990741522429915</v>
      </c>
    </row>
    <row r="23" spans="2:21" x14ac:dyDescent="0.55000000000000004">
      <c r="B23" s="38" t="s">
        <v>119</v>
      </c>
      <c r="C23" s="41" t="s">
        <v>212</v>
      </c>
      <c r="D23" s="41">
        <v>1</v>
      </c>
      <c r="E23" s="41">
        <v>1</v>
      </c>
      <c r="F23" s="42">
        <v>73864.368000000002</v>
      </c>
      <c r="G23" s="87">
        <f t="shared" si="10"/>
        <v>73864.368000000002</v>
      </c>
      <c r="H23" s="87">
        <f>G23*Data!C58</f>
        <v>14772.873600000001</v>
      </c>
      <c r="I23" s="41">
        <v>10</v>
      </c>
      <c r="J23" s="87">
        <f>Data!C95*'Biochar Fixed Costs'!I23*'Biochar Fixed Costs'!E23</f>
        <v>17727.44832</v>
      </c>
      <c r="K23" s="34">
        <v>0.01</v>
      </c>
      <c r="L23" s="87">
        <f t="shared" si="11"/>
        <v>7386.4368000000004</v>
      </c>
      <c r="M23" s="87">
        <f t="shared" si="12"/>
        <v>59091.494400000003</v>
      </c>
      <c r="N23" s="33">
        <v>0.06</v>
      </c>
      <c r="O23" s="32">
        <v>10</v>
      </c>
      <c r="P23" s="87">
        <f t="shared" si="13"/>
        <v>943.05280926071157</v>
      </c>
      <c r="Q23" s="87">
        <f t="shared" si="14"/>
        <v>28222.313911285397</v>
      </c>
      <c r="R23" s="87">
        <f t="shared" si="15"/>
        <v>11079.655199999999</v>
      </c>
      <c r="S23" s="87">
        <f t="shared" si="16"/>
        <v>123507.34863128539</v>
      </c>
      <c r="T23" s="87">
        <f t="shared" si="9"/>
        <v>12350.734863128539</v>
      </c>
      <c r="U23" s="26">
        <f>T23/(Data!$C$43*Parameters!$E$15)/Parameters!$D$15</f>
        <v>29.653625121557116</v>
      </c>
    </row>
    <row r="24" spans="2:21" x14ac:dyDescent="0.55000000000000004">
      <c r="B24" s="38" t="s">
        <v>202</v>
      </c>
      <c r="C24" s="41" t="str">
        <f>IF(X3=Data!B151, "80' X 100' Steel Frame Building", "None")</f>
        <v>None</v>
      </c>
      <c r="D24" s="41">
        <f>IF(C24="80' X 100' Steel Frame Building", 1, 0)</f>
        <v>0</v>
      </c>
      <c r="E24" s="41">
        <f>IF(C24="80' X 100' Steel Frame Building", 1, 0)</f>
        <v>0</v>
      </c>
      <c r="F24" s="42">
        <f>IF(C24="None", 0, 581772.8)</f>
        <v>0</v>
      </c>
      <c r="G24" s="87">
        <f t="shared" si="10"/>
        <v>0</v>
      </c>
      <c r="H24" s="87">
        <f>G24*Data!C59</f>
        <v>0</v>
      </c>
      <c r="I24" s="41">
        <f>IF(C24="80' X 100' Steel Frame Building", 10, 0)</f>
        <v>0</v>
      </c>
      <c r="J24" s="87">
        <f>IF(E24&gt;0, Data!C96*'Biochar Fixed Costs'!I24*'Biochar Fixed Costs'!E24, 0)</f>
        <v>0</v>
      </c>
      <c r="K24" s="34">
        <v>0.01</v>
      </c>
      <c r="L24" s="87">
        <f t="shared" si="11"/>
        <v>0</v>
      </c>
      <c r="M24" s="87">
        <f t="shared" si="12"/>
        <v>0</v>
      </c>
      <c r="N24" s="33">
        <v>0.06</v>
      </c>
      <c r="O24" s="32">
        <v>10</v>
      </c>
      <c r="P24" s="87">
        <f t="shared" si="13"/>
        <v>0</v>
      </c>
      <c r="Q24" s="87">
        <f>(P24*12*O24)-(G24+R24)</f>
        <v>0</v>
      </c>
      <c r="R24" s="87">
        <f t="shared" si="15"/>
        <v>0</v>
      </c>
      <c r="S24" s="87">
        <f t="shared" si="16"/>
        <v>0</v>
      </c>
      <c r="T24" s="87">
        <f>S24/10</f>
        <v>0</v>
      </c>
      <c r="U24" s="26">
        <f>T24/(Data!$C$43*Parameters!$E$15)/Parameters!$D$15</f>
        <v>0</v>
      </c>
    </row>
    <row r="25" spans="2:21" x14ac:dyDescent="0.55000000000000004">
      <c r="B25" s="38" t="s">
        <v>110</v>
      </c>
      <c r="C25" s="41" t="s">
        <v>111</v>
      </c>
      <c r="D25" s="41">
        <v>1</v>
      </c>
      <c r="E25" s="41">
        <v>1</v>
      </c>
      <c r="F25" s="87">
        <v>701.218028</v>
      </c>
      <c r="G25" s="87">
        <f t="shared" si="10"/>
        <v>701.218028</v>
      </c>
      <c r="H25" s="87">
        <f>G25*Data!C60</f>
        <v>140.2436056</v>
      </c>
      <c r="I25" s="41">
        <v>10</v>
      </c>
      <c r="J25" s="87">
        <f>Data!C97*'Biochar Fixed Costs'!I25*'Biochar Fixed Costs'!E25</f>
        <v>0</v>
      </c>
      <c r="K25" s="34">
        <v>0.01</v>
      </c>
      <c r="L25" s="87">
        <f t="shared" si="11"/>
        <v>70.121802799999998</v>
      </c>
      <c r="M25" s="87">
        <f t="shared" si="12"/>
        <v>560.97442239999998</v>
      </c>
      <c r="N25" s="33">
        <v>0.06</v>
      </c>
      <c r="O25" s="32">
        <v>10</v>
      </c>
      <c r="P25" s="87">
        <f t="shared" si="13"/>
        <v>8.9527014054957643</v>
      </c>
      <c r="Q25" s="87">
        <f t="shared" si="14"/>
        <v>267.92343645949154</v>
      </c>
      <c r="R25" s="87">
        <f t="shared" si="15"/>
        <v>105.1827042</v>
      </c>
      <c r="S25" s="87">
        <f t="shared" si="16"/>
        <v>1004.2023658594915</v>
      </c>
      <c r="T25" s="87">
        <f t="shared" si="9"/>
        <v>100.42023658594914</v>
      </c>
      <c r="U25" s="26">
        <f>T25/(Data!$C$43*Parameters!$E$15)/Parameters!$D$15</f>
        <v>0.24110500981020203</v>
      </c>
    </row>
    <row r="26" spans="2:21" x14ac:dyDescent="0.55000000000000004">
      <c r="B26" s="38" t="s">
        <v>114</v>
      </c>
      <c r="C26" s="41" t="s">
        <v>115</v>
      </c>
      <c r="D26" s="83">
        <v>1</v>
      </c>
      <c r="E26" s="83">
        <v>1</v>
      </c>
      <c r="F26" s="42">
        <v>902</v>
      </c>
      <c r="G26" s="87">
        <f t="shared" si="10"/>
        <v>902</v>
      </c>
      <c r="H26" s="87">
        <f>G26*Data!C61</f>
        <v>180.4</v>
      </c>
      <c r="I26" s="83">
        <v>10</v>
      </c>
      <c r="J26" s="87">
        <f>Data!C98*'Biochar Fixed Costs'!I26*'Biochar Fixed Costs'!E26</f>
        <v>0</v>
      </c>
      <c r="K26" s="34">
        <v>0.01</v>
      </c>
      <c r="L26" s="87">
        <f t="shared" si="11"/>
        <v>90.199999999999989</v>
      </c>
      <c r="M26" s="87">
        <f t="shared" si="12"/>
        <v>721.6</v>
      </c>
      <c r="N26" s="33">
        <v>0.06</v>
      </c>
      <c r="O26" s="32">
        <v>10</v>
      </c>
      <c r="P26" s="87">
        <f t="shared" si="13"/>
        <v>11.516156666407296</v>
      </c>
      <c r="Q26" s="87">
        <f t="shared" si="14"/>
        <v>344.63879996887545</v>
      </c>
      <c r="R26" s="87">
        <f t="shared" si="15"/>
        <v>135.29999999999998</v>
      </c>
      <c r="S26" s="87">
        <f t="shared" si="16"/>
        <v>1291.7387999688754</v>
      </c>
      <c r="T26" s="87">
        <f t="shared" si="9"/>
        <v>129.17387999688754</v>
      </c>
      <c r="U26" s="26">
        <f>T26/(Data!$C$43*Parameters!$E$15)/Parameters!$D$15</f>
        <v>0.31014136853994606</v>
      </c>
    </row>
    <row r="27" spans="2:21" x14ac:dyDescent="0.55000000000000004">
      <c r="B27" s="38" t="s">
        <v>117</v>
      </c>
      <c r="C27" s="41" t="s">
        <v>116</v>
      </c>
      <c r="D27" s="83">
        <v>1</v>
      </c>
      <c r="E27" s="83">
        <v>1</v>
      </c>
      <c r="F27" s="42">
        <v>711</v>
      </c>
      <c r="G27" s="87">
        <f t="shared" si="10"/>
        <v>711</v>
      </c>
      <c r="H27" s="87">
        <f>G27*Data!C62</f>
        <v>142.20000000000002</v>
      </c>
      <c r="I27" s="83">
        <v>10</v>
      </c>
      <c r="J27" s="87">
        <f>Data!C99*'Biochar Fixed Costs'!I27*'Biochar Fixed Costs'!E27</f>
        <v>0</v>
      </c>
      <c r="K27" s="34">
        <v>0.01</v>
      </c>
      <c r="L27" s="87">
        <f t="shared" si="11"/>
        <v>71.100000000000009</v>
      </c>
      <c r="M27" s="87">
        <f t="shared" si="12"/>
        <v>568.79999999999995</v>
      </c>
      <c r="N27" s="33">
        <v>0.06</v>
      </c>
      <c r="O27" s="32">
        <v>10</v>
      </c>
      <c r="P27" s="87">
        <f t="shared" si="13"/>
        <v>9.0775913412589659</v>
      </c>
      <c r="Q27" s="87">
        <f t="shared" si="14"/>
        <v>271.66096095107594</v>
      </c>
      <c r="R27" s="87">
        <f t="shared" si="15"/>
        <v>106.64999999999999</v>
      </c>
      <c r="S27" s="87">
        <f t="shared" si="16"/>
        <v>1018.2109609510759</v>
      </c>
      <c r="T27" s="87">
        <f t="shared" si="9"/>
        <v>101.82109609510759</v>
      </c>
      <c r="U27" s="26">
        <f>T27/(Data!$C$43*Parameters!$E$15)/Parameters!$D$15</f>
        <v>0.24446841799545641</v>
      </c>
    </row>
    <row r="28" spans="2:21" ht="14.7" thickBot="1" x14ac:dyDescent="0.6">
      <c r="B28" s="73" t="s">
        <v>28</v>
      </c>
      <c r="C28" s="123"/>
      <c r="D28" s="123"/>
      <c r="E28" s="123"/>
      <c r="F28" s="123"/>
      <c r="G28" s="125">
        <f>SUM(G20:G27)</f>
        <v>184546.07002800002</v>
      </c>
      <c r="H28" s="125">
        <f>SUM(H22:H27)</f>
        <v>15833.073205600002</v>
      </c>
      <c r="I28" s="123"/>
      <c r="J28" s="125">
        <f>SUM(J22:J27)</f>
        <v>18444.275519999999</v>
      </c>
      <c r="K28" s="123"/>
      <c r="L28" s="125">
        <f>SUM(L22:L27)</f>
        <v>7916.5366028000008</v>
      </c>
      <c r="M28" s="125">
        <f>SUM(M22:M27)</f>
        <v>63332.292822400006</v>
      </c>
      <c r="N28" s="123"/>
      <c r="O28" s="123"/>
      <c r="P28" s="132">
        <f>SUM(P20:P27)</f>
        <v>1903.8027265959183</v>
      </c>
      <c r="Q28" s="125">
        <f>SUM(Q20:Q27)</f>
        <v>32035.452259310186</v>
      </c>
      <c r="R28" s="125">
        <f>SUM(R22:R27)</f>
        <v>11874.804904199998</v>
      </c>
      <c r="S28" s="125">
        <f>SUM(S20:S27)</f>
        <v>238984.06610871022</v>
      </c>
      <c r="T28" s="125">
        <f>SUM(T20:T27)</f>
        <v>23898.406610871018</v>
      </c>
      <c r="U28" s="24">
        <f>SUM(U20:U27)</f>
        <v>57.379127517097288</v>
      </c>
    </row>
    <row r="29" spans="2:21" ht="14.7" thickBot="1" x14ac:dyDescent="0.6">
      <c r="B29" s="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</row>
    <row r="30" spans="2:21" ht="14.7" thickBot="1" x14ac:dyDescent="0.6"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3"/>
    </row>
    <row r="31" spans="2:21" x14ac:dyDescent="0.55000000000000004">
      <c r="B31" s="133" t="s">
        <v>33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34"/>
      <c r="S31" s="137">
        <f>Data!C25</f>
        <v>246573.61800989948</v>
      </c>
      <c r="T31" s="139">
        <f>S31/10</f>
        <v>24657.361800989947</v>
      </c>
      <c r="U31" s="26">
        <f>T31/(Data!$C$43*Parameters!$E$15)/Parameters!$D$15</f>
        <v>59.201348861920643</v>
      </c>
    </row>
    <row r="32" spans="2:21" x14ac:dyDescent="0.55000000000000004">
      <c r="B32" s="45" t="s">
        <v>34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35"/>
      <c r="S32" s="138">
        <f>Data!C16</f>
        <v>2477.71</v>
      </c>
      <c r="T32" s="138">
        <f>S32/10</f>
        <v>247.77100000000002</v>
      </c>
      <c r="U32" s="26">
        <f>T32/(Data!$C$43*Parameters!$E$15)/Parameters!$D$15</f>
        <v>0.59488835534213691</v>
      </c>
    </row>
    <row r="33" spans="2:21" ht="14.7" thickBot="1" x14ac:dyDescent="0.6">
      <c r="B33" s="73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36"/>
      <c r="S33" s="125">
        <f>SUM(S31:S32)</f>
        <v>249051.32800989947</v>
      </c>
      <c r="T33" s="125">
        <f>SUM(T31:T32)</f>
        <v>24905.132800989948</v>
      </c>
      <c r="U33" s="24">
        <f>SUM(U31:U32)</f>
        <v>59.796237217262778</v>
      </c>
    </row>
    <row r="34" spans="2:21" ht="14.7" thickBot="1" x14ac:dyDescent="0.6">
      <c r="B34" s="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7"/>
      <c r="U34" s="6"/>
    </row>
    <row r="35" spans="2:21" ht="14.7" thickBot="1" x14ac:dyDescent="0.6">
      <c r="B35" s="12" t="s">
        <v>36</v>
      </c>
      <c r="C35" s="13"/>
      <c r="D35" s="13"/>
      <c r="E35" s="13"/>
      <c r="F35" s="13"/>
      <c r="G35" s="140">
        <f>SUM(G17,G28)</f>
        <v>1195239.1893684403</v>
      </c>
      <c r="H35" s="140">
        <f>SUM(H17,H28)</f>
        <v>221430.23378183439</v>
      </c>
      <c r="I35" s="141"/>
      <c r="J35" s="140">
        <f>SUM(J17,J28)</f>
        <v>574161.65876712487</v>
      </c>
      <c r="K35" s="13"/>
      <c r="L35" s="140">
        <f>SUM(L17,L28)</f>
        <v>108985.84853684403</v>
      </c>
      <c r="M35" s="140">
        <f>SUM(M17,M28)</f>
        <v>868428.25158660603</v>
      </c>
      <c r="N35" s="13"/>
      <c r="O35" s="13"/>
      <c r="P35" s="140">
        <f>SUM(P17,P28)</f>
        <v>14807.683329682835</v>
      </c>
      <c r="Q35" s="140">
        <f>SUM(Q17,Q28)</f>
        <v>418204.03738823364</v>
      </c>
      <c r="R35" s="140">
        <f>SUM(R17,R28)</f>
        <v>163478.77280526605</v>
      </c>
      <c r="S35" s="140">
        <f>SUM(S17,S28,S33)</f>
        <v>2487690.601093974</v>
      </c>
      <c r="T35" s="28">
        <f>SUM(T17,T28,T33)</f>
        <v>248769.06010939743</v>
      </c>
      <c r="U35" s="35">
        <f>SUM(U17,U28,U33)</f>
        <v>597.28465812580407</v>
      </c>
    </row>
  </sheetData>
  <mergeCells count="2">
    <mergeCell ref="B3:U3"/>
    <mergeCell ref="B2:U2"/>
  </mergeCell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Data!$D$157:$D$171</xm:f>
          </x14:formula1>
          <xm:sqref>N7:N16 N20 N22:N27</xm:sqref>
        </x14:dataValidation>
        <x14:dataValidation type="list" allowBlank="1" showInputMessage="1" showErrorMessage="1" xr:uid="{00000000-0002-0000-0000-000001000000}">
          <x14:formula1>
            <xm:f>Data!$B$157:$B$170</xm:f>
          </x14:formula1>
          <xm:sqref>K7:K16 K22:K27</xm:sqref>
        </x14:dataValidation>
        <x14:dataValidation type="list" allowBlank="1" showInputMessage="1" showErrorMessage="1" xr:uid="{00000000-0002-0000-0000-000002000000}">
          <x14:formula1>
            <xm:f>Data!$F$157:$F$158</xm:f>
          </x14:formula1>
          <xm:sqref>O7:O16 O22:O27</xm:sqref>
        </x14:dataValidation>
        <x14:dataValidation type="list" allowBlank="1" showInputMessage="1" showErrorMessage="1" xr:uid="{00000000-0002-0000-0000-000003000000}">
          <x14:formula1>
            <xm:f>Data!$B$233:$B$234</xm:f>
          </x14:formula1>
          <xm:sqref>W3</xm:sqref>
        </x14:dataValidation>
        <x14:dataValidation type="list" allowBlank="1" showInputMessage="1" showErrorMessage="1" xr:uid="{00000000-0002-0000-0000-000004000000}">
          <x14:formula1>
            <xm:f>Data!$B$149:$B$151</xm:f>
          </x14:formula1>
          <xm:sqref>X3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7"/>
  <sheetViews>
    <sheetView workbookViewId="0">
      <pane ySplit="3" topLeftCell="A4" activePane="bottomLeft" state="frozen"/>
      <selection pane="bottomLeft" activeCell="H11" sqref="H11"/>
    </sheetView>
  </sheetViews>
  <sheetFormatPr defaultRowHeight="14.4" x14ac:dyDescent="0.55000000000000004"/>
  <cols>
    <col min="2" max="2" width="30.15625" bestFit="1" customWidth="1"/>
    <col min="3" max="3" width="9.26171875" bestFit="1" customWidth="1"/>
    <col min="4" max="4" width="8.578125" customWidth="1"/>
    <col min="5" max="5" width="19.15625" bestFit="1" customWidth="1"/>
    <col min="6" max="6" width="18.26171875" bestFit="1" customWidth="1"/>
    <col min="7" max="7" width="18.26171875" customWidth="1"/>
    <col min="8" max="8" width="19.41796875" bestFit="1" customWidth="1"/>
    <col min="10" max="10" width="20" bestFit="1" customWidth="1"/>
    <col min="11" max="11" width="15" bestFit="1" customWidth="1"/>
    <col min="12" max="12" width="18.15625" bestFit="1" customWidth="1"/>
  </cols>
  <sheetData>
    <row r="1" spans="2:10" ht="14.7" thickBot="1" x14ac:dyDescent="0.6"/>
    <row r="2" spans="2:10" ht="14.7" thickBot="1" x14ac:dyDescent="0.6">
      <c r="B2" s="184" t="s">
        <v>196</v>
      </c>
      <c r="C2" s="185"/>
      <c r="D2" s="185"/>
      <c r="E2" s="185"/>
      <c r="F2" s="185"/>
      <c r="G2" s="185"/>
      <c r="H2" s="186"/>
      <c r="J2" s="16"/>
    </row>
    <row r="3" spans="2:10" x14ac:dyDescent="0.55000000000000004">
      <c r="B3" s="142" t="s">
        <v>198</v>
      </c>
      <c r="C3" s="153" t="s">
        <v>40</v>
      </c>
      <c r="D3" s="153" t="s">
        <v>4</v>
      </c>
      <c r="E3" s="153" t="s">
        <v>91</v>
      </c>
      <c r="F3" s="153" t="s">
        <v>92</v>
      </c>
      <c r="G3" s="153" t="s">
        <v>57</v>
      </c>
      <c r="H3" s="120" t="s">
        <v>93</v>
      </c>
    </row>
    <row r="4" spans="2:10" x14ac:dyDescent="0.55000000000000004">
      <c r="B4" s="143" t="s">
        <v>197</v>
      </c>
      <c r="C4" s="154"/>
      <c r="D4" s="154"/>
      <c r="E4" s="154"/>
      <c r="F4" s="154"/>
      <c r="G4" s="154"/>
      <c r="H4" s="121"/>
    </row>
    <row r="5" spans="2:10" x14ac:dyDescent="0.55000000000000004">
      <c r="B5" s="144" t="s">
        <v>101</v>
      </c>
      <c r="C5" s="41"/>
      <c r="D5" s="41"/>
      <c r="E5" s="41"/>
      <c r="F5" s="41"/>
      <c r="G5" s="41"/>
      <c r="H5" s="8"/>
    </row>
    <row r="6" spans="2:10" x14ac:dyDescent="0.55000000000000004">
      <c r="B6" s="57" t="s">
        <v>15</v>
      </c>
      <c r="C6" s="41"/>
      <c r="D6" s="41"/>
      <c r="E6" s="41"/>
      <c r="F6" s="41"/>
      <c r="G6" s="41"/>
      <c r="H6" s="8"/>
    </row>
    <row r="7" spans="2:10" x14ac:dyDescent="0.55000000000000004">
      <c r="B7" s="145" t="s">
        <v>16</v>
      </c>
      <c r="C7" s="155">
        <v>1.31</v>
      </c>
      <c r="D7" s="41" t="s">
        <v>43</v>
      </c>
      <c r="E7" s="158">
        <f>Data!H106</f>
        <v>5861.3394965817224</v>
      </c>
      <c r="F7" s="87">
        <f>E7*C7</f>
        <v>7678.354740522057</v>
      </c>
      <c r="G7" s="87">
        <f>F7*10</f>
        <v>76783.547405220568</v>
      </c>
      <c r="H7" s="26">
        <f>F7/(Data!$C$43*Parameters!$E$15)/Parameters!$D$15</f>
        <v>18.435425547471926</v>
      </c>
    </row>
    <row r="8" spans="2:10" x14ac:dyDescent="0.55000000000000004">
      <c r="B8" s="145" t="s">
        <v>134</v>
      </c>
      <c r="C8" s="155">
        <v>1.3124166666666666</v>
      </c>
      <c r="D8" s="41" t="s">
        <v>43</v>
      </c>
      <c r="E8" s="158">
        <f>Data!H107</f>
        <v>10243.788344999999</v>
      </c>
      <c r="F8" s="87">
        <f t="shared" ref="F8:F14" si="0">E8*C8</f>
        <v>13444.118553783748</v>
      </c>
      <c r="G8" s="87">
        <f t="shared" ref="G8:G14" si="1">F8*10</f>
        <v>134441.18553783747</v>
      </c>
      <c r="H8" s="26">
        <f>F8/(Data!$C$43*Parameters!$E$15)/Parameters!$D$15</f>
        <v>32.278796047499995</v>
      </c>
    </row>
    <row r="9" spans="2:10" x14ac:dyDescent="0.55000000000000004">
      <c r="B9" s="145" t="s">
        <v>173</v>
      </c>
      <c r="C9" s="155">
        <v>1.3124166666666666</v>
      </c>
      <c r="D9" s="41" t="s">
        <v>43</v>
      </c>
      <c r="E9" s="158">
        <f>IF('Biochar Fixed Costs'!C13=Data!C233, 0, Data!H108)</f>
        <v>0</v>
      </c>
      <c r="F9" s="87">
        <f t="shared" si="0"/>
        <v>0</v>
      </c>
      <c r="G9" s="87">
        <f t="shared" si="1"/>
        <v>0</v>
      </c>
      <c r="H9" s="26">
        <f>F9/(Data!$C$43*Parameters!$E$15)/Parameters!$D$15</f>
        <v>0</v>
      </c>
    </row>
    <row r="10" spans="2:10" x14ac:dyDescent="0.55000000000000004">
      <c r="B10" s="145" t="s">
        <v>131</v>
      </c>
      <c r="C10" s="155">
        <v>1.3124166666666666</v>
      </c>
      <c r="D10" s="41" t="s">
        <v>43</v>
      </c>
      <c r="E10" s="158">
        <f>Data!H109</f>
        <v>8536.4902875000007</v>
      </c>
      <c r="F10" s="87">
        <f>E10*C10</f>
        <v>11203.432128153125</v>
      </c>
      <c r="G10" s="87">
        <f t="shared" si="1"/>
        <v>112034.32128153124</v>
      </c>
      <c r="H10" s="26">
        <f>F10/(Data!$C$43*Parameters!$E$15)/Parameters!$D$15</f>
        <v>26.898996706249999</v>
      </c>
    </row>
    <row r="11" spans="2:10" x14ac:dyDescent="0.55000000000000004">
      <c r="B11" s="145" t="s">
        <v>17</v>
      </c>
      <c r="C11" s="155">
        <v>1.3124166666666666</v>
      </c>
      <c r="D11" s="41" t="s">
        <v>43</v>
      </c>
      <c r="E11" s="158">
        <f>IF('Biochar Fixed Costs'!C13=Data!C233, Data!H110, 0)</f>
        <v>4165</v>
      </c>
      <c r="F11" s="87">
        <f t="shared" si="0"/>
        <v>5466.215416666666</v>
      </c>
      <c r="G11" s="87">
        <f>F11*10</f>
        <v>54662.15416666666</v>
      </c>
      <c r="H11" s="26">
        <f>F11/(Data!$C$43*Parameters!$E$15)/Parameters!$D$15</f>
        <v>13.124166666666666</v>
      </c>
    </row>
    <row r="12" spans="2:10" x14ac:dyDescent="0.55000000000000004">
      <c r="B12" s="145" t="s">
        <v>200</v>
      </c>
      <c r="C12" s="155">
        <v>1.3124166666666666</v>
      </c>
      <c r="D12" s="41" t="s">
        <v>43</v>
      </c>
      <c r="E12" s="158">
        <f>IF('Biochar Fixed Costs'!C13=Data!C233, 0, Data!H111)</f>
        <v>0</v>
      </c>
      <c r="F12" s="87">
        <f t="shared" si="0"/>
        <v>0</v>
      </c>
      <c r="G12" s="87">
        <f t="shared" si="1"/>
        <v>0</v>
      </c>
      <c r="H12" s="26">
        <f>F12/(Data!$C$43*Parameters!$E$15)/Parameters!$D$15</f>
        <v>0</v>
      </c>
    </row>
    <row r="13" spans="2:10" x14ac:dyDescent="0.55000000000000004">
      <c r="B13" s="145" t="s">
        <v>201</v>
      </c>
      <c r="C13" s="155">
        <v>1.3124166666666666</v>
      </c>
      <c r="D13" s="41" t="s">
        <v>43</v>
      </c>
      <c r="E13" s="158">
        <f>IF('Biochar Fixed Costs'!X3=Data!B151, Data!H112+Data!H113, 0)</f>
        <v>0</v>
      </c>
      <c r="F13" s="87">
        <f>E13*C13</f>
        <v>0</v>
      </c>
      <c r="G13" s="87">
        <f>F13*10</f>
        <v>0</v>
      </c>
      <c r="H13" s="26">
        <f>F13/(Data!$C$43*Parameters!$E$15)/Parameters!$D$15</f>
        <v>0</v>
      </c>
    </row>
    <row r="14" spans="2:10" x14ac:dyDescent="0.55000000000000004">
      <c r="B14" s="145" t="s">
        <v>107</v>
      </c>
      <c r="C14" s="155">
        <v>1.3124166666666666</v>
      </c>
      <c r="D14" s="41" t="s">
        <v>43</v>
      </c>
      <c r="E14" s="158">
        <f>Data!H114</f>
        <v>682.91922299999999</v>
      </c>
      <c r="F14" s="87">
        <f t="shared" si="0"/>
        <v>896.27457025224987</v>
      </c>
      <c r="G14" s="87">
        <f t="shared" si="1"/>
        <v>8962.7457025224994</v>
      </c>
      <c r="H14" s="26">
        <f>F14/(Data!$C$43*Parameters!$E$15)/Parameters!$D$15</f>
        <v>2.1519197364999996</v>
      </c>
    </row>
    <row r="15" spans="2:10" x14ac:dyDescent="0.55000000000000004">
      <c r="B15" s="57" t="s">
        <v>18</v>
      </c>
      <c r="C15" s="162"/>
      <c r="D15" s="41"/>
      <c r="E15" s="158"/>
      <c r="F15" s="87">
        <f>SUM(F7:F14)</f>
        <v>38688.395409377845</v>
      </c>
      <c r="G15" s="87">
        <f>SUM(G7:G14)</f>
        <v>386883.95409377845</v>
      </c>
      <c r="H15" s="26">
        <f>SUM(H7:H14)</f>
        <v>92.889304704388593</v>
      </c>
    </row>
    <row r="16" spans="2:10" x14ac:dyDescent="0.55000000000000004">
      <c r="B16" s="57" t="s">
        <v>19</v>
      </c>
      <c r="C16" s="162"/>
      <c r="D16" s="41"/>
      <c r="E16" s="158"/>
      <c r="F16" s="41"/>
      <c r="G16" s="41"/>
      <c r="H16" s="8"/>
    </row>
    <row r="17" spans="2:8" x14ac:dyDescent="0.55000000000000004">
      <c r="B17" s="145" t="s">
        <v>41</v>
      </c>
      <c r="C17" s="155">
        <v>1.38</v>
      </c>
      <c r="D17" s="41" t="s">
        <v>43</v>
      </c>
      <c r="E17" s="158">
        <f>IF('Biochar Fixed Costs'!C13=Data!C233, Data!D118, 0)</f>
        <v>3241.1272727272731</v>
      </c>
      <c r="F17" s="87">
        <f>E17*C17</f>
        <v>4472.7556363636368</v>
      </c>
      <c r="G17" s="87">
        <f>F17*10</f>
        <v>44727.556363636366</v>
      </c>
      <c r="H17" s="26">
        <f>F17/(Data!$C$43*Parameters!$E$15)/Parameters!$D$15</f>
        <v>10.738909090909091</v>
      </c>
    </row>
    <row r="18" spans="2:8" x14ac:dyDescent="0.55000000000000004">
      <c r="B18" s="57" t="s">
        <v>20</v>
      </c>
      <c r="C18" s="162"/>
      <c r="D18" s="41"/>
      <c r="E18" s="158"/>
      <c r="F18" s="87">
        <f>SUM(F17:F17)</f>
        <v>4472.7556363636368</v>
      </c>
      <c r="G18" s="87">
        <f>SUM(G17:G17)</f>
        <v>44727.556363636366</v>
      </c>
      <c r="H18" s="26">
        <f>SUM(H17:H17)</f>
        <v>10.738909090909091</v>
      </c>
    </row>
    <row r="19" spans="2:8" x14ac:dyDescent="0.55000000000000004">
      <c r="B19" s="57" t="s">
        <v>94</v>
      </c>
      <c r="C19" s="162"/>
      <c r="D19" s="41"/>
      <c r="E19" s="158"/>
      <c r="F19" s="41"/>
      <c r="G19" s="41"/>
      <c r="H19" s="8"/>
    </row>
    <row r="20" spans="2:8" x14ac:dyDescent="0.55000000000000004">
      <c r="B20" s="145" t="s">
        <v>41</v>
      </c>
      <c r="C20" s="156">
        <v>26.491440000000001</v>
      </c>
      <c r="D20" s="41" t="s">
        <v>43</v>
      </c>
      <c r="E20" s="158">
        <f>IF('Biochar Fixed Costs'!C13=Data!C233, Data!D122, 0)</f>
        <v>64.822545454545462</v>
      </c>
      <c r="F20" s="87">
        <f>E20*C20</f>
        <v>1717.2425735563638</v>
      </c>
      <c r="G20" s="87">
        <f>F20*10</f>
        <v>17172.425735563636</v>
      </c>
      <c r="H20" s="26">
        <f>F20/(Data!$C$43*Parameters!$E$15)/Parameters!$D$15</f>
        <v>4.1230313890909098</v>
      </c>
    </row>
    <row r="21" spans="2:8" x14ac:dyDescent="0.55000000000000004">
      <c r="B21" s="57" t="s">
        <v>175</v>
      </c>
      <c r="C21" s="156"/>
      <c r="D21" s="41"/>
      <c r="E21" s="158"/>
      <c r="F21" s="87">
        <f>SUM(F20:F20)</f>
        <v>1717.2425735563638</v>
      </c>
      <c r="G21" s="87">
        <f>SUM(G20:G20)</f>
        <v>17172.425735563636</v>
      </c>
      <c r="H21" s="26">
        <f>SUM(H20:H20)</f>
        <v>4.1230313890909098</v>
      </c>
    </row>
    <row r="22" spans="2:8" x14ac:dyDescent="0.55000000000000004">
      <c r="B22" s="146" t="s">
        <v>95</v>
      </c>
      <c r="C22" s="162"/>
      <c r="D22" s="41"/>
      <c r="E22" s="158"/>
      <c r="F22" s="41"/>
      <c r="G22" s="41"/>
      <c r="H22" s="8"/>
    </row>
    <row r="23" spans="2:8" x14ac:dyDescent="0.55000000000000004">
      <c r="B23" s="145" t="s">
        <v>41</v>
      </c>
      <c r="C23" s="157">
        <v>5.2840158520475553</v>
      </c>
      <c r="D23" s="41" t="s">
        <v>43</v>
      </c>
      <c r="E23" s="158">
        <f>IF('Biochar Fixed Costs'!C13=Data!C233, Data!F126, 0)</f>
        <v>670.18636363636369</v>
      </c>
      <c r="F23" s="87">
        <f>E23*C23</f>
        <v>3541.2753692806532</v>
      </c>
      <c r="G23" s="87">
        <f t="shared" ref="G23:G30" si="2">F23*10</f>
        <v>35412.753692806531</v>
      </c>
      <c r="H23" s="26">
        <f>F23/(Data!$C$43*Parameters!$E$15)/Parameters!$D$15</f>
        <v>8.5024618710219766</v>
      </c>
    </row>
    <row r="24" spans="2:8" x14ac:dyDescent="0.55000000000000004">
      <c r="B24" s="145" t="s">
        <v>134</v>
      </c>
      <c r="C24" s="162"/>
      <c r="D24" s="41"/>
      <c r="E24" s="158"/>
      <c r="F24" s="87">
        <f>Data!C127*'Biochar Enterprise Budget'!F8</f>
        <v>4947.4356277924189</v>
      </c>
      <c r="G24" s="87">
        <f t="shared" si="2"/>
        <v>49474.356277924191</v>
      </c>
      <c r="H24" s="26">
        <f>F24/(Data!$C$43*Parameters!$E$15)/Parameters!$D$15</f>
        <v>11.878596945479998</v>
      </c>
    </row>
    <row r="25" spans="2:8" x14ac:dyDescent="0.55000000000000004">
      <c r="B25" s="147" t="s">
        <v>173</v>
      </c>
      <c r="C25" s="162"/>
      <c r="D25" s="41"/>
      <c r="E25" s="158"/>
      <c r="F25" s="87">
        <f>Data!C128*'Biochar Enterprise Budget'!F9</f>
        <v>0</v>
      </c>
      <c r="G25" s="87">
        <f t="shared" si="2"/>
        <v>0</v>
      </c>
      <c r="H25" s="26">
        <f>F25/(Data!$C$43*Parameters!$E$15)/Parameters!$D$15</f>
        <v>0</v>
      </c>
    </row>
    <row r="26" spans="2:8" x14ac:dyDescent="0.55000000000000004">
      <c r="B26" s="145" t="s">
        <v>131</v>
      </c>
      <c r="C26" s="162"/>
      <c r="D26" s="41"/>
      <c r="E26" s="158"/>
      <c r="F26" s="87">
        <f>Data!C129*'Biochar Enterprise Budget'!F10</f>
        <v>4122.8630231603502</v>
      </c>
      <c r="G26" s="87">
        <f t="shared" si="2"/>
        <v>41228.6302316035</v>
      </c>
      <c r="H26" s="26">
        <f>F26/(Data!$C$43*Parameters!$E$15)/Parameters!$D$15</f>
        <v>9.8988307878999997</v>
      </c>
    </row>
    <row r="27" spans="2:8" x14ac:dyDescent="0.55000000000000004">
      <c r="B27" s="145" t="s">
        <v>17</v>
      </c>
      <c r="C27" s="162"/>
      <c r="D27" s="41"/>
      <c r="E27" s="158"/>
      <c r="F27" s="87">
        <f>IF('Biochar Fixed Costs'!C13=Data!C233, Data!C130*'Biochar Enterprise Budget'!F11, 'Biochar Enterprise Budget'!C11*Data!H110*Data!C130)</f>
        <v>2011.5672733333331</v>
      </c>
      <c r="G27" s="87">
        <f t="shared" si="2"/>
        <v>20115.672733333333</v>
      </c>
      <c r="H27" s="26">
        <f>F27/(Data!$C$43*Parameters!$E$15)/Parameters!$D$15</f>
        <v>4.8296933333333332</v>
      </c>
    </row>
    <row r="28" spans="2:8" x14ac:dyDescent="0.55000000000000004">
      <c r="B28" s="145" t="s">
        <v>200</v>
      </c>
      <c r="C28" s="157">
        <v>5.8319801349999993</v>
      </c>
      <c r="D28" s="41" t="s">
        <v>43</v>
      </c>
      <c r="E28" s="158">
        <f>IF('Biochar Fixed Costs'!C13=Data!C233, 0, Data!F131)</f>
        <v>0</v>
      </c>
      <c r="F28" s="87">
        <f>E28*C28</f>
        <v>0</v>
      </c>
      <c r="G28" s="87">
        <f t="shared" si="2"/>
        <v>0</v>
      </c>
      <c r="H28" s="26">
        <f>F28/(Data!$C$43*Parameters!$E$15)/Parameters!$D$15</f>
        <v>0</v>
      </c>
    </row>
    <row r="29" spans="2:8" x14ac:dyDescent="0.55000000000000004">
      <c r="B29" s="145" t="s">
        <v>201</v>
      </c>
      <c r="C29" s="157">
        <v>5.8319801349999993</v>
      </c>
      <c r="D29" s="41" t="s">
        <v>43</v>
      </c>
      <c r="E29" s="158">
        <f>IF('Biochar Fixed Costs'!X3=Data!B151, Data!F132+Data!F133, 0)</f>
        <v>0</v>
      </c>
      <c r="F29" s="87">
        <f>E29*C29</f>
        <v>0</v>
      </c>
      <c r="G29" s="87">
        <f>F29*10</f>
        <v>0</v>
      </c>
      <c r="H29" s="26">
        <f>F29/(Data!$C$43*Parameters!$E$15)/Parameters!$D$15</f>
        <v>0</v>
      </c>
    </row>
    <row r="30" spans="2:8" x14ac:dyDescent="0.55000000000000004">
      <c r="B30" s="145" t="s">
        <v>107</v>
      </c>
      <c r="C30" s="162"/>
      <c r="D30" s="41"/>
      <c r="E30" s="158"/>
      <c r="F30" s="87">
        <f>Data!C134*'Biochar Enterprise Budget'!F14</f>
        <v>329.82904185282797</v>
      </c>
      <c r="G30" s="87">
        <f t="shared" si="2"/>
        <v>3298.2904185282796</v>
      </c>
      <c r="H30" s="26">
        <f>F30/(Data!$C$43*Parameters!$E$15)/Parameters!$D$15</f>
        <v>0.79190646303199996</v>
      </c>
    </row>
    <row r="31" spans="2:8" x14ac:dyDescent="0.55000000000000004">
      <c r="B31" s="57" t="s">
        <v>100</v>
      </c>
      <c r="C31" s="162"/>
      <c r="D31" s="41"/>
      <c r="E31" s="158"/>
      <c r="F31" s="87">
        <f>SUM(F26:F27)</f>
        <v>6134.4302964936833</v>
      </c>
      <c r="G31" s="87">
        <f>SUM(G26:G27)</f>
        <v>61344.302964936833</v>
      </c>
      <c r="H31" s="26">
        <f>SUM(H26:H27)</f>
        <v>14.728524121233333</v>
      </c>
    </row>
    <row r="32" spans="2:8" x14ac:dyDescent="0.55000000000000004">
      <c r="B32" s="148" t="s">
        <v>21</v>
      </c>
      <c r="C32" s="162"/>
      <c r="D32" s="41"/>
      <c r="E32" s="158"/>
      <c r="F32" s="87">
        <f>SUM(F15,F18,F20,F31)</f>
        <v>51012.823915791538</v>
      </c>
      <c r="G32" s="87">
        <f>SUM(G15,G18,G20,G31)</f>
        <v>510128.23915791523</v>
      </c>
      <c r="H32" s="26">
        <f>SUM(H15,H18,H20,H31)</f>
        <v>122.47976930562193</v>
      </c>
    </row>
    <row r="33" spans="2:10" x14ac:dyDescent="0.55000000000000004">
      <c r="B33" s="149" t="s">
        <v>22</v>
      </c>
      <c r="C33" s="162"/>
      <c r="D33" s="41"/>
      <c r="E33" s="158"/>
      <c r="F33" s="41"/>
      <c r="G33" s="41"/>
      <c r="H33" s="8"/>
    </row>
    <row r="34" spans="2:10" x14ac:dyDescent="0.55000000000000004">
      <c r="B34" s="57" t="s">
        <v>23</v>
      </c>
      <c r="C34" s="157">
        <v>25</v>
      </c>
      <c r="D34" s="41" t="s">
        <v>44</v>
      </c>
      <c r="E34" s="158">
        <f>Data!C30*Data!F30*Data!G30</f>
        <v>1044</v>
      </c>
      <c r="F34" s="87">
        <f>Data!H30</f>
        <v>26100</v>
      </c>
      <c r="G34" s="87">
        <f>F34*10</f>
        <v>261000</v>
      </c>
      <c r="H34" s="26">
        <f>F34/(Data!$C$43*Parameters!$E$15)/Parameters!$D$15</f>
        <v>62.665066026410564</v>
      </c>
    </row>
    <row r="35" spans="2:10" x14ac:dyDescent="0.55000000000000004">
      <c r="B35" s="57" t="s">
        <v>96</v>
      </c>
      <c r="C35" s="157">
        <v>25</v>
      </c>
      <c r="D35" s="41" t="s">
        <v>44</v>
      </c>
      <c r="E35" s="158">
        <f>Data!C31*Data!F31*Data!G31</f>
        <v>5220</v>
      </c>
      <c r="F35" s="87">
        <f>Data!H31</f>
        <v>156600</v>
      </c>
      <c r="G35" s="87">
        <f>F35*10</f>
        <v>1566000</v>
      </c>
      <c r="H35" s="26">
        <f>F35/(Data!$C$43*Parameters!$E$15)/Parameters!$D$15</f>
        <v>375.9903961584634</v>
      </c>
    </row>
    <row r="36" spans="2:10" x14ac:dyDescent="0.55000000000000004">
      <c r="B36" s="148" t="s">
        <v>24</v>
      </c>
      <c r="C36" s="162"/>
      <c r="D36" s="41"/>
      <c r="E36" s="158"/>
      <c r="F36" s="87">
        <f>SUM(F34:F35)</f>
        <v>182700</v>
      </c>
      <c r="G36" s="87">
        <f>SUM(G34:G35)</f>
        <v>1827000</v>
      </c>
      <c r="H36" s="26">
        <f>SUM(H34:H35)</f>
        <v>438.65546218487395</v>
      </c>
      <c r="J36" s="15"/>
    </row>
    <row r="37" spans="2:10" x14ac:dyDescent="0.55000000000000004">
      <c r="B37" s="144" t="s">
        <v>219</v>
      </c>
      <c r="C37" s="162"/>
      <c r="D37" s="41"/>
      <c r="E37" s="158"/>
      <c r="F37" s="41"/>
      <c r="G37" s="41"/>
      <c r="H37" s="8"/>
    </row>
    <row r="38" spans="2:10" x14ac:dyDescent="0.55000000000000004">
      <c r="B38" s="146" t="s">
        <v>108</v>
      </c>
      <c r="C38" s="157">
        <v>110.90044</v>
      </c>
      <c r="D38" s="41" t="s">
        <v>199</v>
      </c>
      <c r="E38" s="158">
        <f>55.1*Parameters!D15*Data!C43/100</f>
        <v>269.99</v>
      </c>
      <c r="F38" s="87">
        <f>E38*C38</f>
        <v>29942.009795600003</v>
      </c>
      <c r="G38" s="87">
        <f>F38*10</f>
        <v>299420.09795600001</v>
      </c>
      <c r="H38" s="26">
        <f>F38/(Data!$C$43*Parameters!$E$15)/Parameters!$D$15</f>
        <v>71.889579341176471</v>
      </c>
    </row>
    <row r="39" spans="2:10" x14ac:dyDescent="0.55000000000000004">
      <c r="B39" s="57" t="s">
        <v>27</v>
      </c>
      <c r="C39" s="41"/>
      <c r="D39" s="41"/>
      <c r="E39" s="41"/>
      <c r="F39" s="87">
        <f>Data!C141</f>
        <v>5380.7039999999997</v>
      </c>
      <c r="G39" s="87">
        <f>F39*10</f>
        <v>53807.039999999994</v>
      </c>
      <c r="H39" s="26">
        <f>F39/(Data!$C$43*Parameters!$E$15)/Parameters!$D$15</f>
        <v>12.918857142857142</v>
      </c>
    </row>
    <row r="40" spans="2:10" ht="14.7" thickBot="1" x14ac:dyDescent="0.6">
      <c r="B40" s="148" t="s">
        <v>28</v>
      </c>
      <c r="C40" s="41"/>
      <c r="D40" s="41"/>
      <c r="E40" s="41"/>
      <c r="F40" s="87">
        <f>SUM(F38:F39)</f>
        <v>35322.713795600001</v>
      </c>
      <c r="G40" s="87">
        <f>SUM(G38:G39)</f>
        <v>353227.13795599999</v>
      </c>
      <c r="H40" s="26">
        <f>SUM(H38:H39)</f>
        <v>84.808436484033621</v>
      </c>
    </row>
    <row r="41" spans="2:10" ht="14.7" thickBot="1" x14ac:dyDescent="0.6">
      <c r="B41" s="150" t="s">
        <v>39</v>
      </c>
      <c r="C41" s="49"/>
      <c r="D41" s="49"/>
      <c r="E41" s="49"/>
      <c r="F41" s="159">
        <f>SUM(F32,F36,F40)</f>
        <v>269035.53771139152</v>
      </c>
      <c r="G41" s="160">
        <f>SUM(G32,G36,G40)</f>
        <v>2690355.377113915</v>
      </c>
      <c r="H41" s="35">
        <f>SUM(H32,H36,H40)</f>
        <v>645.94366797452949</v>
      </c>
    </row>
    <row r="42" spans="2:10" ht="14.7" thickTop="1" x14ac:dyDescent="0.55000000000000004">
      <c r="B42" s="38"/>
      <c r="C42" s="41"/>
      <c r="D42" s="41"/>
      <c r="E42" s="41"/>
      <c r="F42" s="41"/>
      <c r="G42" s="41"/>
      <c r="H42" s="8"/>
    </row>
    <row r="43" spans="2:10" x14ac:dyDescent="0.55000000000000004">
      <c r="B43" s="151" t="s">
        <v>37</v>
      </c>
      <c r="C43" s="46"/>
      <c r="D43" s="46"/>
      <c r="E43" s="46"/>
      <c r="F43" s="46"/>
      <c r="G43" s="46"/>
      <c r="H43" s="47"/>
    </row>
    <row r="44" spans="2:10" x14ac:dyDescent="0.55000000000000004">
      <c r="B44" s="57" t="s">
        <v>30</v>
      </c>
      <c r="C44" s="41"/>
      <c r="D44" s="41"/>
      <c r="E44" s="41"/>
      <c r="F44" s="87">
        <f>'Biochar Fixed Costs'!T17</f>
        <v>199965.52069753644</v>
      </c>
      <c r="G44" s="87">
        <f>F44*10</f>
        <v>1999655.2069753644</v>
      </c>
      <c r="H44" s="26">
        <f>F44/(Data!$C$43*Parameters!$E$15)/Parameters!$D$15</f>
        <v>480.10929339144406</v>
      </c>
    </row>
    <row r="45" spans="2:10" x14ac:dyDescent="0.55000000000000004">
      <c r="B45" s="57" t="s">
        <v>26</v>
      </c>
      <c r="C45" s="41"/>
      <c r="D45" s="41"/>
      <c r="E45" s="41"/>
      <c r="F45" s="87">
        <f>'Biochar Fixed Costs'!T28</f>
        <v>23898.406610871018</v>
      </c>
      <c r="G45" s="87">
        <f>F45*10</f>
        <v>238984.06610871019</v>
      </c>
      <c r="H45" s="26">
        <f>F45/(Data!$C$43*Parameters!$E$15)/Parameters!$D$15</f>
        <v>57.379127517097281</v>
      </c>
    </row>
    <row r="46" spans="2:10" ht="14.7" thickBot="1" x14ac:dyDescent="0.6">
      <c r="B46" s="57" t="s">
        <v>32</v>
      </c>
      <c r="C46" s="41"/>
      <c r="D46" s="41"/>
      <c r="E46" s="41"/>
      <c r="F46" s="87">
        <f>'Biochar Fixed Costs'!T33</f>
        <v>24905.132800989948</v>
      </c>
      <c r="G46" s="87">
        <f>F46*10</f>
        <v>249051.32800989947</v>
      </c>
      <c r="H46" s="26">
        <f>F46/(Data!$C$43*Parameters!$E$15)/Parameters!$D$15</f>
        <v>59.796237217262778</v>
      </c>
    </row>
    <row r="47" spans="2:10" ht="14.7" thickBot="1" x14ac:dyDescent="0.6">
      <c r="B47" s="150" t="s">
        <v>36</v>
      </c>
      <c r="C47" s="49"/>
      <c r="D47" s="49"/>
      <c r="E47" s="49"/>
      <c r="F47" s="159">
        <f>SUM(F44:F46)</f>
        <v>248769.06010939743</v>
      </c>
      <c r="G47" s="160">
        <f>SUM(G44:G46)</f>
        <v>2487690.601093974</v>
      </c>
      <c r="H47" s="35">
        <f>SUM(H44:H46)</f>
        <v>597.28465812580407</v>
      </c>
    </row>
    <row r="48" spans="2:10" ht="15" thickTop="1" thickBot="1" x14ac:dyDescent="0.6">
      <c r="B48" s="152" t="s">
        <v>38</v>
      </c>
      <c r="C48" s="88"/>
      <c r="D48" s="88"/>
      <c r="E48" s="88"/>
      <c r="F48" s="44">
        <f>SUM(F41,F47)</f>
        <v>517804.59782078897</v>
      </c>
      <c r="G48" s="161">
        <f>SUM(G41,G47)</f>
        <v>5178045.978207889</v>
      </c>
      <c r="H48" s="122">
        <f>SUM(H41,H47)</f>
        <v>1243.2283261003336</v>
      </c>
    </row>
    <row r="52" spans="2:2" x14ac:dyDescent="0.55000000000000004">
      <c r="B52" s="29"/>
    </row>
    <row r="53" spans="2:2" x14ac:dyDescent="0.55000000000000004">
      <c r="B53" s="29"/>
    </row>
    <row r="54" spans="2:2" x14ac:dyDescent="0.55000000000000004">
      <c r="B54" s="29"/>
    </row>
    <row r="55" spans="2:2" x14ac:dyDescent="0.55000000000000004">
      <c r="B55" s="29"/>
    </row>
    <row r="56" spans="2:2" x14ac:dyDescent="0.55000000000000004">
      <c r="B56" s="29"/>
    </row>
    <row r="57" spans="2:2" x14ac:dyDescent="0.55000000000000004">
      <c r="B57" s="29"/>
    </row>
  </sheetData>
  <mergeCells count="1">
    <mergeCell ref="B2:H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8"/>
  <sheetViews>
    <sheetView workbookViewId="0">
      <selection activeCell="D11" sqref="D11"/>
    </sheetView>
  </sheetViews>
  <sheetFormatPr defaultRowHeight="14.4" x14ac:dyDescent="0.55000000000000004"/>
  <cols>
    <col min="2" max="2" width="28" bestFit="1" customWidth="1"/>
    <col min="3" max="3" width="16.83984375" bestFit="1" customWidth="1"/>
    <col min="4" max="4" width="14.578125" customWidth="1"/>
    <col min="5" max="5" width="21.83984375" customWidth="1"/>
    <col min="6" max="6" width="11" customWidth="1"/>
  </cols>
  <sheetData>
    <row r="1" spans="2:6" ht="14.7" thickBot="1" x14ac:dyDescent="0.6"/>
    <row r="2" spans="2:6" x14ac:dyDescent="0.55000000000000004">
      <c r="B2" s="64" t="s">
        <v>178</v>
      </c>
      <c r="C2" s="63" t="s">
        <v>98</v>
      </c>
    </row>
    <row r="3" spans="2:6" x14ac:dyDescent="0.55000000000000004">
      <c r="B3" s="38" t="s">
        <v>134</v>
      </c>
      <c r="C3" s="99">
        <v>2</v>
      </c>
    </row>
    <row r="4" spans="2:6" x14ac:dyDescent="0.55000000000000004">
      <c r="B4" s="38" t="s">
        <v>173</v>
      </c>
      <c r="C4" s="99">
        <v>2</v>
      </c>
    </row>
    <row r="5" spans="2:6" x14ac:dyDescent="0.55000000000000004">
      <c r="B5" s="38" t="s">
        <v>131</v>
      </c>
      <c r="C5" s="99">
        <v>4</v>
      </c>
    </row>
    <row r="6" spans="2:6" x14ac:dyDescent="0.55000000000000004">
      <c r="B6" s="38" t="s">
        <v>176</v>
      </c>
      <c r="C6" s="8">
        <v>8</v>
      </c>
    </row>
    <row r="7" spans="2:6" x14ac:dyDescent="0.55000000000000004">
      <c r="B7" s="38" t="s">
        <v>177</v>
      </c>
      <c r="C7" s="8">
        <f>C10</f>
        <v>10</v>
      </c>
    </row>
    <row r="8" spans="2:6" x14ac:dyDescent="0.55000000000000004">
      <c r="B8" s="38" t="s">
        <v>147</v>
      </c>
      <c r="C8" s="8">
        <f>C7</f>
        <v>10</v>
      </c>
    </row>
    <row r="9" spans="2:6" x14ac:dyDescent="0.55000000000000004">
      <c r="B9" s="38" t="s">
        <v>107</v>
      </c>
      <c r="C9" s="99">
        <v>2</v>
      </c>
    </row>
    <row r="10" spans="2:6" ht="14.7" thickBot="1" x14ac:dyDescent="0.6">
      <c r="B10" s="39" t="s">
        <v>179</v>
      </c>
      <c r="C10" s="100">
        <v>10</v>
      </c>
    </row>
    <row r="11" spans="2:6" ht="14.7" thickBot="1" x14ac:dyDescent="0.6"/>
    <row r="12" spans="2:6" s="22" customFormat="1" x14ac:dyDescent="0.55000000000000004">
      <c r="B12" s="64" t="s">
        <v>192</v>
      </c>
      <c r="C12" s="67" t="s">
        <v>183</v>
      </c>
      <c r="D12" s="67" t="s">
        <v>182</v>
      </c>
      <c r="E12" s="63" t="s">
        <v>128</v>
      </c>
      <c r="F12"/>
    </row>
    <row r="13" spans="2:6" x14ac:dyDescent="0.55000000000000004">
      <c r="B13" s="38" t="s">
        <v>180</v>
      </c>
      <c r="C13" s="41">
        <f>1/4</f>
        <v>0.25</v>
      </c>
      <c r="D13" s="41">
        <v>2</v>
      </c>
      <c r="E13" s="99">
        <v>0.85</v>
      </c>
    </row>
    <row r="14" spans="2:6" x14ac:dyDescent="0.55000000000000004">
      <c r="B14" s="38" t="s">
        <v>181</v>
      </c>
      <c r="C14" s="41">
        <v>0.156</v>
      </c>
      <c r="D14" s="41">
        <f>C14*C7</f>
        <v>1.56</v>
      </c>
      <c r="E14" s="8">
        <v>1</v>
      </c>
    </row>
    <row r="15" spans="2:6" ht="14.7" thickBot="1" x14ac:dyDescent="0.6">
      <c r="B15" s="39" t="s">
        <v>195</v>
      </c>
      <c r="C15" s="101">
        <f>IF('Biochar Fixed Costs'!$C$13=Data!$C$233, Parameters!C13, Parameters!C14)</f>
        <v>0.25</v>
      </c>
      <c r="D15" s="101">
        <f>IF('Biochar Fixed Costs'!$C$13=Data!$C$233, Parameters!D13, Parameters!D14)</f>
        <v>2</v>
      </c>
      <c r="E15" s="102">
        <f>IF('Biochar Fixed Costs'!$C$13=Data!$C$233, Parameters!E13, Parameters!E14)</f>
        <v>0.85</v>
      </c>
    </row>
    <row r="16" spans="2:6" ht="14.7" thickBot="1" x14ac:dyDescent="0.6"/>
    <row r="17" spans="2:2" x14ac:dyDescent="0.55000000000000004">
      <c r="B17" s="97" t="s">
        <v>188</v>
      </c>
    </row>
    <row r="18" spans="2:2" ht="14.7" thickBot="1" x14ac:dyDescent="0.6">
      <c r="B18" s="98">
        <v>2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Data!$B$181:$B$185</xm:f>
          </x14:formula1>
          <xm:sqref>C5</xm:sqref>
        </x14:dataValidation>
        <x14:dataValidation type="list" allowBlank="1" showInputMessage="1" showErrorMessage="1" xr:uid="{00000000-0002-0000-0200-000001000000}">
          <x14:formula1>
            <xm:f>Data!$B$188:$B$191</xm:f>
          </x14:formula1>
          <xm:sqref>C9</xm:sqref>
        </x14:dataValidation>
        <x14:dataValidation type="list" allowBlank="1" showInputMessage="1" showErrorMessage="1" xr:uid="{00000000-0002-0000-0200-000002000000}">
          <x14:formula1>
            <xm:f>Data!$B$194:$B$196</xm:f>
          </x14:formula1>
          <xm:sqref>C10</xm:sqref>
        </x14:dataValidation>
        <x14:dataValidation type="list" allowBlank="1" showInputMessage="1" showErrorMessage="1" xr:uid="{00000000-0002-0000-0200-000003000000}">
          <x14:formula1>
            <xm:f>Data!$B$199:$B$224</xm:f>
          </x14:formula1>
          <xm:sqref>E13</xm:sqref>
        </x14:dataValidation>
        <x14:dataValidation type="list" allowBlank="1" showInputMessage="1" showErrorMessage="1" xr:uid="{00000000-0002-0000-0200-000004000000}">
          <x14:formula1>
            <xm:f>Data!$B$227:$B$229</xm:f>
          </x14:formula1>
          <xm:sqref>B18</xm:sqref>
        </x14:dataValidation>
        <x14:dataValidation type="list" allowBlank="1" showInputMessage="1" showErrorMessage="1" xr:uid="{00000000-0002-0000-0200-000005000000}">
          <x14:formula1>
            <xm:f>Data!$B$175:$B$178</xm:f>
          </x14:formula1>
          <xm:sqref>C3:C4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38"/>
  <sheetViews>
    <sheetView topLeftCell="A228" workbookViewId="0">
      <selection activeCell="D240" sqref="D240"/>
    </sheetView>
  </sheetViews>
  <sheetFormatPr defaultRowHeight="14.4" x14ac:dyDescent="0.55000000000000004"/>
  <cols>
    <col min="2" max="2" width="54.26171875" bestFit="1" customWidth="1"/>
    <col min="3" max="3" width="17" customWidth="1"/>
    <col min="4" max="4" width="24.41796875" bestFit="1" customWidth="1"/>
    <col min="5" max="5" width="16.41796875" bestFit="1" customWidth="1"/>
    <col min="6" max="6" width="16.68359375" customWidth="1"/>
    <col min="7" max="7" width="17.26171875" customWidth="1"/>
    <col min="8" max="8" width="17" bestFit="1" customWidth="1"/>
    <col min="9" max="9" width="10.15625" bestFit="1" customWidth="1"/>
    <col min="10" max="11" width="17" bestFit="1" customWidth="1"/>
  </cols>
  <sheetData>
    <row r="1" spans="2:4" ht="14.7" thickBot="1" x14ac:dyDescent="0.6"/>
    <row r="2" spans="2:4" ht="14.7" thickBot="1" x14ac:dyDescent="0.6">
      <c r="B2" s="184" t="s">
        <v>137</v>
      </c>
      <c r="C2" s="185"/>
      <c r="D2" s="186"/>
    </row>
    <row r="3" spans="2:4" x14ac:dyDescent="0.55000000000000004">
      <c r="B3" s="45" t="s">
        <v>72</v>
      </c>
      <c r="C3" s="46" t="s">
        <v>73</v>
      </c>
      <c r="D3" s="47" t="s">
        <v>74</v>
      </c>
    </row>
    <row r="4" spans="2:4" x14ac:dyDescent="0.55000000000000004">
      <c r="B4" s="38" t="s">
        <v>75</v>
      </c>
      <c r="C4" s="41">
        <v>100</v>
      </c>
      <c r="D4" s="8">
        <v>1</v>
      </c>
    </row>
    <row r="5" spans="2:4" x14ac:dyDescent="0.55000000000000004">
      <c r="B5" s="38" t="s">
        <v>76</v>
      </c>
      <c r="C5" s="41">
        <v>100</v>
      </c>
      <c r="D5" s="8">
        <v>1</v>
      </c>
    </row>
    <row r="6" spans="2:4" x14ac:dyDescent="0.55000000000000004">
      <c r="B6" s="38" t="s">
        <v>112</v>
      </c>
      <c r="C6" s="42">
        <v>17.5</v>
      </c>
      <c r="D6" s="8">
        <f>12*10</f>
        <v>120</v>
      </c>
    </row>
    <row r="7" spans="2:4" x14ac:dyDescent="0.55000000000000004">
      <c r="B7" s="38" t="s">
        <v>113</v>
      </c>
      <c r="C7" s="43">
        <v>25</v>
      </c>
      <c r="D7" s="8">
        <f>12*10</f>
        <v>120</v>
      </c>
    </row>
    <row r="8" spans="2:4" x14ac:dyDescent="0.55000000000000004">
      <c r="B8" s="38" t="s">
        <v>77</v>
      </c>
      <c r="C8" s="41">
        <v>0</v>
      </c>
      <c r="D8" s="8">
        <v>0</v>
      </c>
    </row>
    <row r="9" spans="2:4" x14ac:dyDescent="0.55000000000000004">
      <c r="B9" s="38" t="s">
        <v>78</v>
      </c>
      <c r="C9" s="41">
        <v>0</v>
      </c>
      <c r="D9" s="8">
        <v>0</v>
      </c>
    </row>
    <row r="10" spans="2:4" x14ac:dyDescent="0.55000000000000004">
      <c r="B10" s="38" t="s">
        <v>79</v>
      </c>
      <c r="C10" s="41">
        <v>100</v>
      </c>
      <c r="D10" s="8">
        <v>10</v>
      </c>
    </row>
    <row r="11" spans="2:4" x14ac:dyDescent="0.55000000000000004">
      <c r="B11" s="38" t="s">
        <v>80</v>
      </c>
      <c r="C11" s="41">
        <v>0</v>
      </c>
      <c r="D11" s="8">
        <v>0</v>
      </c>
    </row>
    <row r="12" spans="2:4" x14ac:dyDescent="0.55000000000000004">
      <c r="B12" s="38" t="s">
        <v>81</v>
      </c>
      <c r="C12" s="41">
        <v>400</v>
      </c>
      <c r="D12" s="8">
        <v>1</v>
      </c>
    </row>
    <row r="13" spans="2:4" x14ac:dyDescent="0.55000000000000004">
      <c r="B13" s="38" t="s">
        <v>82</v>
      </c>
      <c r="C13" s="41">
        <f>150*1.15</f>
        <v>172.5</v>
      </c>
      <c r="D13" s="8">
        <v>1</v>
      </c>
    </row>
    <row r="14" spans="2:4" x14ac:dyDescent="0.55000000000000004">
      <c r="B14" s="45" t="s">
        <v>83</v>
      </c>
      <c r="C14" s="46">
        <f>0.98*'Biochar Enterprise Budget'!$F$36/100</f>
        <v>1790.46</v>
      </c>
      <c r="D14" s="47">
        <v>10</v>
      </c>
    </row>
    <row r="15" spans="2:4" ht="14.7" thickBot="1" x14ac:dyDescent="0.6">
      <c r="B15" s="50" t="s">
        <v>84</v>
      </c>
      <c r="C15" s="51">
        <f>C4*D4+C5*D5+C6*D6+C7*D7+C8*D8+C9*D9+C10*D10+C11*D11+C12*D12+C13*D13+C14*D14</f>
        <v>24777.1</v>
      </c>
      <c r="D15" s="52"/>
    </row>
    <row r="16" spans="2:4" ht="15" thickTop="1" thickBot="1" x14ac:dyDescent="0.6">
      <c r="B16" s="39" t="s">
        <v>85</v>
      </c>
      <c r="C16" s="44">
        <f>C15/10</f>
        <v>2477.71</v>
      </c>
      <c r="D16" s="36"/>
    </row>
    <row r="18" spans="2:12" ht="14.7" thickBot="1" x14ac:dyDescent="0.6"/>
    <row r="19" spans="2:12" x14ac:dyDescent="0.55000000000000004">
      <c r="B19" s="187" t="s">
        <v>138</v>
      </c>
      <c r="C19" s="189"/>
    </row>
    <row r="20" spans="2:12" x14ac:dyDescent="0.55000000000000004">
      <c r="B20" s="56" t="s">
        <v>31</v>
      </c>
      <c r="C20" s="26">
        <f>'Biochar Fixed Costs'!$S$17</f>
        <v>1999655.2069753646</v>
      </c>
    </row>
    <row r="21" spans="2:12" x14ac:dyDescent="0.55000000000000004">
      <c r="B21" s="57" t="s">
        <v>28</v>
      </c>
      <c r="C21" s="26">
        <f>'Biochar Fixed Costs'!$S$28</f>
        <v>238984.06610871022</v>
      </c>
    </row>
    <row r="22" spans="2:12" x14ac:dyDescent="0.55000000000000004">
      <c r="B22" s="57" t="s">
        <v>34</v>
      </c>
      <c r="C22" s="26">
        <f>'Biochar Fixed Costs'!$S$32</f>
        <v>2477.71</v>
      </c>
    </row>
    <row r="23" spans="2:12" x14ac:dyDescent="0.55000000000000004">
      <c r="B23" s="58" t="s">
        <v>39</v>
      </c>
      <c r="C23" s="53">
        <f>'Biochar Enterprise Budget'!$G$41</f>
        <v>2690355.377113915</v>
      </c>
    </row>
    <row r="24" spans="2:12" ht="14.7" thickBot="1" x14ac:dyDescent="0.6">
      <c r="B24" s="59" t="s">
        <v>104</v>
      </c>
      <c r="C24" s="55">
        <f>SUM(C20:C23)</f>
        <v>4931472.3601979893</v>
      </c>
    </row>
    <row r="25" spans="2:12" ht="15" thickTop="1" thickBot="1" x14ac:dyDescent="0.6">
      <c r="B25" s="60" t="s">
        <v>103</v>
      </c>
      <c r="C25" s="54">
        <f>C24*0.05</f>
        <v>246573.61800989948</v>
      </c>
    </row>
    <row r="27" spans="2:12" ht="14.7" thickBot="1" x14ac:dyDescent="0.6"/>
    <row r="28" spans="2:12" ht="14.7" thickBot="1" x14ac:dyDescent="0.6">
      <c r="B28" s="184" t="s">
        <v>139</v>
      </c>
      <c r="C28" s="185"/>
      <c r="D28" s="185"/>
      <c r="E28" s="185"/>
      <c r="F28" s="185"/>
      <c r="G28" s="185"/>
      <c r="H28" s="186"/>
      <c r="I28" s="30"/>
      <c r="J28" s="30"/>
      <c r="K28" s="30"/>
      <c r="L28" s="30"/>
    </row>
    <row r="29" spans="2:12" x14ac:dyDescent="0.55000000000000004">
      <c r="B29" s="64" t="s">
        <v>97</v>
      </c>
      <c r="C29" s="67" t="s">
        <v>98</v>
      </c>
      <c r="D29" s="67" t="s">
        <v>121</v>
      </c>
      <c r="E29" s="67" t="s">
        <v>122</v>
      </c>
      <c r="F29" s="67" t="s">
        <v>163</v>
      </c>
      <c r="G29" s="67" t="s">
        <v>123</v>
      </c>
      <c r="H29" s="63" t="s">
        <v>99</v>
      </c>
    </row>
    <row r="30" spans="2:12" s="22" customFormat="1" ht="31.5" customHeight="1" x14ac:dyDescent="0.55000000000000004">
      <c r="B30" s="65" t="s">
        <v>23</v>
      </c>
      <c r="C30" s="68">
        <f>1*2</f>
        <v>2</v>
      </c>
      <c r="D30" s="70">
        <f>C30*'Biochar Enterprise Budget'!C34</f>
        <v>50</v>
      </c>
      <c r="E30" s="68">
        <v>0</v>
      </c>
      <c r="F30" s="68">
        <f>Parameters!$B$18</f>
        <v>2</v>
      </c>
      <c r="G30" s="68">
        <f>$C$42</f>
        <v>261</v>
      </c>
      <c r="H30" s="61">
        <f>(D30+E30)*F30*$C$42</f>
        <v>26100</v>
      </c>
    </row>
    <row r="31" spans="2:12" s="22" customFormat="1" ht="14.7" thickBot="1" x14ac:dyDescent="0.6">
      <c r="B31" s="66" t="s">
        <v>96</v>
      </c>
      <c r="C31" s="69">
        <f>Parameters!C10</f>
        <v>10</v>
      </c>
      <c r="D31" s="71">
        <f>IF((C30+C31)&gt;8, 6*'Biochar Enterprise Budget'!C35, C31*#REF!)</f>
        <v>150</v>
      </c>
      <c r="E31" s="71">
        <f>IF((C30+C31)&gt;8, ((C30+C31)-8)*'Biochar Enterprise Budget'!C35*1.5,0)</f>
        <v>150</v>
      </c>
      <c r="F31" s="69">
        <f>Parameters!$B$18</f>
        <v>2</v>
      </c>
      <c r="G31" s="69">
        <f>$C$42</f>
        <v>261</v>
      </c>
      <c r="H31" s="62">
        <f>(D31+E31)*F31*$C$42</f>
        <v>156600</v>
      </c>
    </row>
    <row r="32" spans="2:12" ht="14.7" thickBot="1" x14ac:dyDescent="0.6"/>
    <row r="33" spans="2:9" x14ac:dyDescent="0.55000000000000004">
      <c r="B33" s="187" t="s">
        <v>220</v>
      </c>
      <c r="C33" s="188"/>
      <c r="D33" s="189"/>
    </row>
    <row r="34" spans="2:9" x14ac:dyDescent="0.55000000000000004">
      <c r="B34" s="164"/>
      <c r="C34" s="166" t="s">
        <v>204</v>
      </c>
      <c r="D34" s="165" t="s">
        <v>207</v>
      </c>
    </row>
    <row r="35" spans="2:9" x14ac:dyDescent="0.55000000000000004">
      <c r="B35" s="37" t="s">
        <v>53</v>
      </c>
      <c r="C35" s="40">
        <v>365</v>
      </c>
      <c r="D35" s="8">
        <f>31-15+30+31+31+31+31+15</f>
        <v>185</v>
      </c>
    </row>
    <row r="36" spans="2:9" x14ac:dyDescent="0.55000000000000004">
      <c r="B36" s="45" t="s">
        <v>124</v>
      </c>
      <c r="C36" s="46">
        <f>52*2</f>
        <v>104</v>
      </c>
      <c r="D36" s="47">
        <f>4+8+10+8+10+8+4</f>
        <v>52</v>
      </c>
    </row>
    <row r="37" spans="2:9" ht="14.7" thickBot="1" x14ac:dyDescent="0.6">
      <c r="B37" s="73" t="s">
        <v>208</v>
      </c>
      <c r="C37" s="123">
        <f>C35-C36</f>
        <v>261</v>
      </c>
      <c r="D37" s="72">
        <f>D35-D36</f>
        <v>133</v>
      </c>
    </row>
    <row r="38" spans="2:9" x14ac:dyDescent="0.55000000000000004">
      <c r="B38" s="38" t="s">
        <v>125</v>
      </c>
      <c r="C38" s="41">
        <v>6</v>
      </c>
      <c r="D38" s="8">
        <v>3</v>
      </c>
    </row>
    <row r="39" spans="2:9" x14ac:dyDescent="0.55000000000000004">
      <c r="B39" s="45" t="s">
        <v>126</v>
      </c>
      <c r="C39" s="46">
        <v>10</v>
      </c>
      <c r="D39" s="47">
        <f>D37*0.04</f>
        <v>5.32</v>
      </c>
    </row>
    <row r="40" spans="2:9" ht="14.7" thickBot="1" x14ac:dyDescent="0.6">
      <c r="B40" s="50" t="s">
        <v>209</v>
      </c>
      <c r="C40" s="163">
        <f>C37</f>
        <v>261</v>
      </c>
      <c r="D40" s="52">
        <f>D37+D39</f>
        <v>138.32</v>
      </c>
    </row>
    <row r="41" spans="2:9" ht="15" thickTop="1" thickBot="1" x14ac:dyDescent="0.6">
      <c r="B41" s="167" t="s">
        <v>127</v>
      </c>
      <c r="C41" s="168">
        <f>C40-C38-C39</f>
        <v>245</v>
      </c>
      <c r="D41" s="169">
        <f>D40-D38-D39</f>
        <v>130</v>
      </c>
    </row>
    <row r="42" spans="2:9" x14ac:dyDescent="0.55000000000000004">
      <c r="B42" s="78" t="s">
        <v>210</v>
      </c>
      <c r="C42" s="170">
        <f>IF('Biochar Fixed Costs'!X3=Data!B150, Data!D40, Data!C40)</f>
        <v>261</v>
      </c>
      <c r="D42" s="5"/>
      <c r="E42" s="7"/>
    </row>
    <row r="43" spans="2:9" ht="14.7" thickBot="1" x14ac:dyDescent="0.6">
      <c r="B43" s="60" t="s">
        <v>211</v>
      </c>
      <c r="C43" s="171">
        <f>IF('Biochar Fixed Costs'!X3=Data!B150, Data!D41, Data!C41)</f>
        <v>245</v>
      </c>
      <c r="D43" s="7"/>
      <c r="E43" s="7"/>
    </row>
    <row r="44" spans="2:9" ht="14.7" thickBot="1" x14ac:dyDescent="0.6"/>
    <row r="45" spans="2:9" ht="14.7" thickBot="1" x14ac:dyDescent="0.6">
      <c r="B45" s="184" t="s">
        <v>171</v>
      </c>
      <c r="C45" s="185"/>
      <c r="D45" s="185"/>
      <c r="E45" s="185"/>
      <c r="F45" s="185"/>
      <c r="G45" s="185"/>
      <c r="H45" s="186"/>
    </row>
    <row r="46" spans="2:9" x14ac:dyDescent="0.55000000000000004">
      <c r="B46" s="64" t="s">
        <v>135</v>
      </c>
      <c r="C46" s="79" t="s">
        <v>47</v>
      </c>
      <c r="D46" s="79" t="s">
        <v>48</v>
      </c>
      <c r="E46" s="79" t="s">
        <v>49</v>
      </c>
      <c r="F46" s="79" t="s">
        <v>50</v>
      </c>
      <c r="G46" s="79" t="s">
        <v>51</v>
      </c>
      <c r="H46" s="76" t="s">
        <v>52</v>
      </c>
      <c r="I46" s="18"/>
    </row>
    <row r="47" spans="2:9" x14ac:dyDescent="0.55000000000000004">
      <c r="B47" s="38" t="s">
        <v>140</v>
      </c>
      <c r="C47" s="80">
        <f>(D47-E47*(F47^0.5)-G47*(H47^0.5))^2</f>
        <v>0.26391634851833801</v>
      </c>
      <c r="D47" s="83">
        <v>0.78600000000000003</v>
      </c>
      <c r="E47" s="83">
        <v>6.3E-2</v>
      </c>
      <c r="F47" s="83">
        <f>'Biochar Fixed Costs'!I7</f>
        <v>10</v>
      </c>
      <c r="G47" s="83">
        <v>3.3E-3</v>
      </c>
      <c r="H47" s="74">
        <f>2*$C$43</f>
        <v>490</v>
      </c>
      <c r="I47" s="18"/>
    </row>
    <row r="48" spans="2:9" x14ac:dyDescent="0.55000000000000004">
      <c r="B48" s="77" t="s">
        <v>172</v>
      </c>
      <c r="C48" s="80">
        <f>(D48-E48*(F48^0.5)-G48*(H48^0.5))^2</f>
        <v>0.35044882095439045</v>
      </c>
      <c r="D48" s="83">
        <v>0.94299999999999995</v>
      </c>
      <c r="E48" s="83">
        <v>0.111</v>
      </c>
      <c r="F48" s="83">
        <f>'Biochar Fixed Costs'!I8</f>
        <v>10</v>
      </c>
      <c r="G48" s="83">
        <v>0</v>
      </c>
      <c r="H48" s="74">
        <f>2*$C$43</f>
        <v>490</v>
      </c>
      <c r="I48" s="18"/>
    </row>
    <row r="49" spans="2:9" x14ac:dyDescent="0.55000000000000004">
      <c r="B49" s="38" t="s">
        <v>41</v>
      </c>
      <c r="C49" s="81">
        <v>0</v>
      </c>
      <c r="D49" s="41" t="s">
        <v>120</v>
      </c>
      <c r="E49" s="41" t="s">
        <v>120</v>
      </c>
      <c r="F49" s="83">
        <f>'Biochar Fixed Costs'!I9</f>
        <v>5</v>
      </c>
      <c r="G49" s="83" t="s">
        <v>120</v>
      </c>
      <c r="H49" s="74" t="s">
        <v>120</v>
      </c>
      <c r="I49" s="18"/>
    </row>
    <row r="50" spans="2:9" x14ac:dyDescent="0.55000000000000004">
      <c r="B50" s="38" t="s">
        <v>129</v>
      </c>
      <c r="C50" s="81">
        <v>0.2</v>
      </c>
      <c r="D50" s="41" t="s">
        <v>120</v>
      </c>
      <c r="E50" s="41" t="s">
        <v>120</v>
      </c>
      <c r="F50" s="83">
        <f>'Biochar Fixed Costs'!I10</f>
        <v>10</v>
      </c>
      <c r="G50" s="83" t="s">
        <v>120</v>
      </c>
      <c r="H50" s="74" t="s">
        <v>120</v>
      </c>
      <c r="I50" s="18"/>
    </row>
    <row r="51" spans="2:9" x14ac:dyDescent="0.55000000000000004">
      <c r="B51" s="38" t="s">
        <v>130</v>
      </c>
      <c r="C51" s="81">
        <v>0.2</v>
      </c>
      <c r="D51" s="41" t="s">
        <v>120</v>
      </c>
      <c r="E51" s="41" t="s">
        <v>120</v>
      </c>
      <c r="F51" s="83">
        <f>'Biochar Fixed Costs'!I11</f>
        <v>0</v>
      </c>
      <c r="G51" s="83" t="s">
        <v>120</v>
      </c>
      <c r="H51" s="74" t="s">
        <v>120</v>
      </c>
      <c r="I51" s="18"/>
    </row>
    <row r="52" spans="2:9" x14ac:dyDescent="0.55000000000000004">
      <c r="B52" s="38" t="s">
        <v>217</v>
      </c>
      <c r="C52" s="80">
        <f>(D52-E52*(F52^0.5)-G52*(H52^0.5))^2</f>
        <v>0.36087445754322822</v>
      </c>
      <c r="D52" s="83">
        <v>0.94199999999999995</v>
      </c>
      <c r="E52" s="83">
        <v>0.1</v>
      </c>
      <c r="F52" s="83">
        <f>'Biochar Fixed Costs'!I12</f>
        <v>10</v>
      </c>
      <c r="G52" s="83">
        <v>8.0000000000000004E-4</v>
      </c>
      <c r="H52" s="74">
        <f>Parameters!C5*$C$43</f>
        <v>980</v>
      </c>
      <c r="I52" s="18"/>
    </row>
    <row r="53" spans="2:9" x14ac:dyDescent="0.55000000000000004">
      <c r="B53" s="38" t="s">
        <v>17</v>
      </c>
      <c r="C53" s="81">
        <v>0.1</v>
      </c>
      <c r="D53" s="83" t="s">
        <v>120</v>
      </c>
      <c r="E53" s="83" t="s">
        <v>120</v>
      </c>
      <c r="F53" s="83">
        <f>'Biochar Fixed Costs'!I13</f>
        <v>10</v>
      </c>
      <c r="G53" s="83" t="s">
        <v>120</v>
      </c>
      <c r="H53" s="74" t="s">
        <v>120</v>
      </c>
      <c r="I53" s="18"/>
    </row>
    <row r="54" spans="2:9" x14ac:dyDescent="0.55000000000000004">
      <c r="B54" s="38" t="s">
        <v>200</v>
      </c>
      <c r="C54" s="81">
        <v>0.2</v>
      </c>
      <c r="D54" s="83" t="s">
        <v>120</v>
      </c>
      <c r="E54" s="83" t="s">
        <v>120</v>
      </c>
      <c r="F54" s="83">
        <f>'Biochar Fixed Costs'!I14</f>
        <v>0</v>
      </c>
      <c r="G54" s="83" t="s">
        <v>120</v>
      </c>
      <c r="H54" s="74" t="s">
        <v>120</v>
      </c>
      <c r="I54" s="18"/>
    </row>
    <row r="55" spans="2:9" x14ac:dyDescent="0.55000000000000004">
      <c r="B55" s="38" t="s">
        <v>201</v>
      </c>
      <c r="C55" s="81">
        <v>0.2</v>
      </c>
      <c r="D55" s="83" t="s">
        <v>120</v>
      </c>
      <c r="E55" s="83" t="s">
        <v>120</v>
      </c>
      <c r="F55" s="83">
        <f>'Biochar Fixed Costs'!I15</f>
        <v>0</v>
      </c>
      <c r="G55" s="83" t="s">
        <v>120</v>
      </c>
      <c r="H55" s="74" t="s">
        <v>120</v>
      </c>
      <c r="I55" s="18"/>
    </row>
    <row r="56" spans="2:9" x14ac:dyDescent="0.55000000000000004">
      <c r="B56" s="38" t="s">
        <v>105</v>
      </c>
      <c r="C56" s="81">
        <v>0.2</v>
      </c>
      <c r="D56" s="83" t="s">
        <v>120</v>
      </c>
      <c r="E56" s="83" t="s">
        <v>120</v>
      </c>
      <c r="F56" s="83">
        <f>'Biochar Fixed Costs'!I16</f>
        <v>10</v>
      </c>
      <c r="G56" s="83" t="s">
        <v>120</v>
      </c>
      <c r="H56" s="74" t="s">
        <v>120</v>
      </c>
    </row>
    <row r="57" spans="2:9" x14ac:dyDescent="0.55000000000000004">
      <c r="B57" s="78" t="s">
        <v>141</v>
      </c>
      <c r="C57" s="81">
        <v>0.2</v>
      </c>
      <c r="D57" s="83" t="s">
        <v>120</v>
      </c>
      <c r="E57" s="83" t="s">
        <v>120</v>
      </c>
      <c r="F57" s="83">
        <f>'Biochar Fixed Costs'!I22</f>
        <v>10</v>
      </c>
      <c r="G57" s="83" t="s">
        <v>120</v>
      </c>
      <c r="H57" s="74" t="s">
        <v>120</v>
      </c>
    </row>
    <row r="58" spans="2:9" x14ac:dyDescent="0.55000000000000004">
      <c r="B58" s="78" t="s">
        <v>148</v>
      </c>
      <c r="C58" s="81">
        <v>0.2</v>
      </c>
      <c r="D58" s="83" t="s">
        <v>120</v>
      </c>
      <c r="E58" s="83" t="s">
        <v>120</v>
      </c>
      <c r="F58" s="83">
        <f>'Biochar Fixed Costs'!I23</f>
        <v>10</v>
      </c>
      <c r="G58" s="83" t="s">
        <v>120</v>
      </c>
      <c r="H58" s="74" t="s">
        <v>120</v>
      </c>
    </row>
    <row r="59" spans="2:9" x14ac:dyDescent="0.55000000000000004">
      <c r="B59" s="78" t="s">
        <v>202</v>
      </c>
      <c r="C59" s="81">
        <v>0.2</v>
      </c>
      <c r="D59" s="83" t="s">
        <v>120</v>
      </c>
      <c r="E59" s="83" t="s">
        <v>120</v>
      </c>
      <c r="F59" s="83">
        <f>'Biochar Fixed Costs'!I24</f>
        <v>0</v>
      </c>
      <c r="G59" s="83" t="s">
        <v>120</v>
      </c>
      <c r="H59" s="74" t="s">
        <v>120</v>
      </c>
    </row>
    <row r="60" spans="2:9" x14ac:dyDescent="0.55000000000000004">
      <c r="B60" s="78" t="s">
        <v>110</v>
      </c>
      <c r="C60" s="81">
        <v>0.2</v>
      </c>
      <c r="D60" s="83" t="s">
        <v>120</v>
      </c>
      <c r="E60" s="83" t="s">
        <v>120</v>
      </c>
      <c r="F60" s="83">
        <f>'Biochar Fixed Costs'!I25</f>
        <v>10</v>
      </c>
      <c r="G60" s="83" t="s">
        <v>120</v>
      </c>
      <c r="H60" s="74" t="s">
        <v>120</v>
      </c>
    </row>
    <row r="61" spans="2:9" x14ac:dyDescent="0.55000000000000004">
      <c r="B61" s="78" t="s">
        <v>114</v>
      </c>
      <c r="C61" s="81">
        <v>0.2</v>
      </c>
      <c r="D61" s="83" t="s">
        <v>120</v>
      </c>
      <c r="E61" s="83" t="s">
        <v>120</v>
      </c>
      <c r="F61" s="83">
        <f>'Biochar Fixed Costs'!I26</f>
        <v>10</v>
      </c>
      <c r="G61" s="83" t="s">
        <v>120</v>
      </c>
      <c r="H61" s="74" t="s">
        <v>120</v>
      </c>
    </row>
    <row r="62" spans="2:9" ht="14.7" thickBot="1" x14ac:dyDescent="0.6">
      <c r="B62" s="60" t="s">
        <v>117</v>
      </c>
      <c r="C62" s="82">
        <v>0.2</v>
      </c>
      <c r="D62" s="84" t="s">
        <v>120</v>
      </c>
      <c r="E62" s="84" t="s">
        <v>120</v>
      </c>
      <c r="F62" s="84">
        <f>'Biochar Fixed Costs'!I27</f>
        <v>10</v>
      </c>
      <c r="G62" s="84" t="s">
        <v>120</v>
      </c>
      <c r="H62" s="75" t="s">
        <v>120</v>
      </c>
    </row>
    <row r="64" spans="2:9" ht="14.7" thickBot="1" x14ac:dyDescent="0.6"/>
    <row r="65" spans="2:9" ht="14.7" thickBot="1" x14ac:dyDescent="0.6">
      <c r="B65" s="184" t="s">
        <v>149</v>
      </c>
      <c r="C65" s="185"/>
      <c r="D65" s="185"/>
      <c r="E65" s="185"/>
      <c r="F65" s="186"/>
    </row>
    <row r="66" spans="2:9" ht="14.7" thickBot="1" x14ac:dyDescent="0.6"/>
    <row r="67" spans="2:9" ht="14.7" thickBot="1" x14ac:dyDescent="0.6">
      <c r="B67" s="184" t="s">
        <v>16</v>
      </c>
      <c r="C67" s="185"/>
      <c r="D67" s="185"/>
      <c r="E67" s="185"/>
      <c r="F67" s="186"/>
    </row>
    <row r="68" spans="2:9" x14ac:dyDescent="0.55000000000000004">
      <c r="B68" s="64" t="s">
        <v>194</v>
      </c>
      <c r="C68" s="67" t="s">
        <v>56</v>
      </c>
      <c r="D68" s="67" t="s">
        <v>145</v>
      </c>
      <c r="E68" s="67" t="s">
        <v>142</v>
      </c>
      <c r="F68" s="63" t="s">
        <v>89</v>
      </c>
    </row>
    <row r="69" spans="2:9" x14ac:dyDescent="0.55000000000000004">
      <c r="B69" s="85" t="s">
        <v>54</v>
      </c>
      <c r="C69" s="86">
        <v>5.1951413778033841E-2</v>
      </c>
      <c r="D69" s="83">
        <v>45.2</v>
      </c>
      <c r="E69" s="87">
        <f>C69*D69*2</f>
        <v>4.6964078055342595</v>
      </c>
      <c r="F69" s="26">
        <f>E69*$C$43</f>
        <v>1150.6199123558936</v>
      </c>
      <c r="G69" s="15"/>
    </row>
    <row r="70" spans="2:9" x14ac:dyDescent="0.55000000000000004">
      <c r="B70" s="85" t="s">
        <v>55</v>
      </c>
      <c r="C70" s="86">
        <v>1.3264190751838425E-2</v>
      </c>
      <c r="D70" s="83">
        <v>45.2</v>
      </c>
      <c r="E70" s="87">
        <f>C70*D70*2</f>
        <v>1.1990828439661938</v>
      </c>
      <c r="F70" s="26">
        <f>E70*$C$43</f>
        <v>293.77529677171748</v>
      </c>
      <c r="G70" s="15"/>
    </row>
    <row r="71" spans="2:9" ht="14.7" thickBot="1" x14ac:dyDescent="0.6">
      <c r="B71" s="39" t="s">
        <v>143</v>
      </c>
      <c r="C71" s="44">
        <f>SUM(C69:C70)</f>
        <v>6.5215604529872268E-2</v>
      </c>
      <c r="D71" s="84">
        <v>45.2</v>
      </c>
      <c r="E71" s="44">
        <f>SUM(E69:E70)</f>
        <v>5.8954906495004531</v>
      </c>
      <c r="F71" s="54">
        <f>SUM(F69:F70)</f>
        <v>1444.395209127611</v>
      </c>
      <c r="G71" s="15"/>
    </row>
    <row r="72" spans="2:9" ht="14.7" thickBot="1" x14ac:dyDescent="0.6"/>
    <row r="73" spans="2:9" ht="14.7" thickBot="1" x14ac:dyDescent="0.6">
      <c r="B73" s="184" t="s">
        <v>25</v>
      </c>
      <c r="C73" s="185"/>
      <c r="D73" s="185"/>
      <c r="E73" s="185"/>
      <c r="F73" s="186"/>
    </row>
    <row r="74" spans="2:9" x14ac:dyDescent="0.55000000000000004">
      <c r="B74" s="64" t="s">
        <v>194</v>
      </c>
      <c r="C74" s="67" t="s">
        <v>56</v>
      </c>
      <c r="D74" s="67" t="s">
        <v>145</v>
      </c>
      <c r="E74" s="67" t="s">
        <v>142</v>
      </c>
      <c r="F74" s="63" t="s">
        <v>89</v>
      </c>
      <c r="G74" s="15"/>
    </row>
    <row r="75" spans="2:9" x14ac:dyDescent="0.55000000000000004">
      <c r="B75" s="85" t="s">
        <v>55</v>
      </c>
      <c r="C75" s="103">
        <v>1.3264190751838425E-2</v>
      </c>
      <c r="D75" s="104">
        <v>45.2</v>
      </c>
      <c r="E75" s="105">
        <f>C75*D75*2</f>
        <v>1.1990828439661938</v>
      </c>
      <c r="F75" s="106">
        <f>E75*$C$43</f>
        <v>293.77529677171748</v>
      </c>
      <c r="G75" s="15"/>
    </row>
    <row r="76" spans="2:9" x14ac:dyDescent="0.55000000000000004">
      <c r="B76" s="57" t="s">
        <v>58</v>
      </c>
      <c r="C76" s="107" t="s">
        <v>120</v>
      </c>
      <c r="D76" s="107" t="s">
        <v>120</v>
      </c>
      <c r="E76" s="104" t="s">
        <v>120</v>
      </c>
      <c r="F76" s="106">
        <f>'Biochar Fixed Costs'!M8/'Biochar Fixed Costs'!I8/'Biochar Fixed Costs'!E8*0.5</f>
        <v>498.98521574283734</v>
      </c>
      <c r="G76" s="15"/>
    </row>
    <row r="77" spans="2:9" ht="14.7" thickBot="1" x14ac:dyDescent="0.6">
      <c r="B77" s="45" t="s">
        <v>144</v>
      </c>
      <c r="C77" s="108" t="s">
        <v>120</v>
      </c>
      <c r="D77" s="108" t="s">
        <v>120</v>
      </c>
      <c r="E77" s="108" t="s">
        <v>120</v>
      </c>
      <c r="F77" s="109">
        <f>SUM(F75:F76)</f>
        <v>792.76051251455488</v>
      </c>
    </row>
    <row r="78" spans="2:9" ht="14.7" thickBot="1" x14ac:dyDescent="0.6"/>
    <row r="79" spans="2:9" ht="14.7" thickBot="1" x14ac:dyDescent="0.6">
      <c r="B79" s="184" t="s">
        <v>41</v>
      </c>
      <c r="C79" s="185"/>
      <c r="D79" s="185"/>
      <c r="E79" s="185"/>
      <c r="F79" s="185"/>
      <c r="G79" s="185"/>
      <c r="H79" s="185"/>
      <c r="I79" s="186"/>
    </row>
    <row r="80" spans="2:9" x14ac:dyDescent="0.55000000000000004">
      <c r="B80" s="64" t="s">
        <v>194</v>
      </c>
      <c r="C80" s="67" t="s">
        <v>60</v>
      </c>
      <c r="D80" s="67" t="s">
        <v>218</v>
      </c>
      <c r="E80" s="67" t="s">
        <v>61</v>
      </c>
      <c r="F80" s="67" t="s">
        <v>62</v>
      </c>
      <c r="G80" s="67" t="s">
        <v>63</v>
      </c>
      <c r="H80" s="67" t="s">
        <v>146</v>
      </c>
      <c r="I80" s="63" t="s">
        <v>89</v>
      </c>
    </row>
    <row r="81" spans="2:9" x14ac:dyDescent="0.55000000000000004">
      <c r="B81" s="57" t="s">
        <v>59</v>
      </c>
      <c r="C81" s="177">
        <v>2.2727272727272731E-2</v>
      </c>
      <c r="D81" s="107">
        <f>4/4</f>
        <v>1</v>
      </c>
      <c r="E81" s="107">
        <v>8</v>
      </c>
      <c r="F81" s="107">
        <f>D81*E81*C81</f>
        <v>0.18181818181818185</v>
      </c>
      <c r="G81" s="107">
        <f>F81*C41</f>
        <v>44.545454545454554</v>
      </c>
      <c r="H81" s="105">
        <v>41.139648000000001</v>
      </c>
      <c r="I81" s="106">
        <f>G81*H81</f>
        <v>1832.5843200000004</v>
      </c>
    </row>
    <row r="82" spans="2:9" x14ac:dyDescent="0.55000000000000004">
      <c r="B82" s="57" t="s">
        <v>58</v>
      </c>
      <c r="C82" s="107" t="s">
        <v>120</v>
      </c>
      <c r="D82" s="107" t="s">
        <v>120</v>
      </c>
      <c r="E82" s="107" t="s">
        <v>120</v>
      </c>
      <c r="F82" s="104" t="s">
        <v>120</v>
      </c>
      <c r="G82" s="104" t="s">
        <v>120</v>
      </c>
      <c r="H82" s="105" t="s">
        <v>120</v>
      </c>
      <c r="I82" s="106">
        <f>'Biochar Fixed Costs'!M9/'Biochar Fixed Costs'!I9/'Biochar Fixed Costs'!E9</f>
        <v>313.99</v>
      </c>
    </row>
    <row r="83" spans="2:9" ht="14.7" thickBot="1" x14ac:dyDescent="0.6">
      <c r="B83" s="39" t="s">
        <v>150</v>
      </c>
      <c r="C83" s="108" t="s">
        <v>120</v>
      </c>
      <c r="D83" s="108" t="s">
        <v>120</v>
      </c>
      <c r="E83" s="108" t="s">
        <v>120</v>
      </c>
      <c r="F83" s="108" t="s">
        <v>120</v>
      </c>
      <c r="G83" s="108" t="s">
        <v>120</v>
      </c>
      <c r="H83" s="110" t="s">
        <v>120</v>
      </c>
      <c r="I83" s="109">
        <f>SUM(I81:I82)</f>
        <v>2146.5743200000006</v>
      </c>
    </row>
    <row r="84" spans="2:9" ht="14.7" thickBot="1" x14ac:dyDescent="0.6"/>
    <row r="85" spans="2:9" ht="14.7" thickBot="1" x14ac:dyDescent="0.6">
      <c r="B85" s="184" t="s">
        <v>168</v>
      </c>
      <c r="C85" s="186"/>
    </row>
    <row r="86" spans="2:9" x14ac:dyDescent="0.55000000000000004">
      <c r="B86" s="64" t="s">
        <v>135</v>
      </c>
      <c r="C86" s="63" t="s">
        <v>89</v>
      </c>
    </row>
    <row r="87" spans="2:9" x14ac:dyDescent="0.55000000000000004">
      <c r="B87" s="38" t="s">
        <v>134</v>
      </c>
      <c r="C87" s="26">
        <f>'Biochar Fixed Costs'!M10/'Biochar Fixed Costs'!I10/'Biochar Fixed Costs'!E10</f>
        <v>37399.68</v>
      </c>
    </row>
    <row r="88" spans="2:9" x14ac:dyDescent="0.55000000000000004">
      <c r="B88" s="38" t="s">
        <v>130</v>
      </c>
      <c r="C88" s="26" t="e">
        <f>'Biochar Fixed Costs'!M11/'Biochar Fixed Costs'!I11/'Biochar Fixed Costs'!E11</f>
        <v>#DIV/0!</v>
      </c>
    </row>
    <row r="89" spans="2:9" x14ac:dyDescent="0.55000000000000004">
      <c r="B89" s="38" t="s">
        <v>131</v>
      </c>
      <c r="C89" s="26">
        <f>'Biochar Fixed Costs'!M12/'Biochar Fixed Costs'!I12/'Biochar Fixed Costs'!E12*0.9</f>
        <v>8452.3569869380899</v>
      </c>
    </row>
    <row r="90" spans="2:9" x14ac:dyDescent="0.55000000000000004">
      <c r="B90" s="38" t="s">
        <v>17</v>
      </c>
      <c r="C90" s="26">
        <f>'Biochar Fixed Costs'!F13*0.015</f>
        <v>3847.5199600639048</v>
      </c>
    </row>
    <row r="91" spans="2:9" x14ac:dyDescent="0.55000000000000004">
      <c r="B91" s="38" t="s">
        <v>200</v>
      </c>
      <c r="C91" s="26" t="e">
        <f>'Biochar Fixed Costs'!M14/'Biochar Fixed Costs'!I14/'Biochar Fixed Costs'!E14</f>
        <v>#DIV/0!</v>
      </c>
    </row>
    <row r="92" spans="2:9" x14ac:dyDescent="0.55000000000000004">
      <c r="B92" s="38" t="s">
        <v>201</v>
      </c>
      <c r="C92" s="26" t="e">
        <f>'Biochar Fixed Costs'!M15/'Biochar Fixed Costs'!I15/'Biochar Fixed Costs'!E15</f>
        <v>#DIV/0!</v>
      </c>
    </row>
    <row r="93" spans="2:9" x14ac:dyDescent="0.55000000000000004">
      <c r="B93" s="38" t="s">
        <v>105</v>
      </c>
      <c r="C93" s="26">
        <f>'Biochar Fixed Costs'!M16/'Biochar Fixed Costs'!I16/'Biochar Fixed Costs'!E16*0.3</f>
        <v>1488.4513360683197</v>
      </c>
    </row>
    <row r="94" spans="2:9" x14ac:dyDescent="0.55000000000000004">
      <c r="B94" s="78" t="s">
        <v>141</v>
      </c>
      <c r="C94" s="26">
        <f>'Biochar Fixed Costs'!M22/'Biochar Fixed Costs'!I22/'Biochar Fixed Costs'!E22*0.3</f>
        <v>71.682719999999989</v>
      </c>
    </row>
    <row r="95" spans="2:9" x14ac:dyDescent="0.55000000000000004">
      <c r="B95" s="78" t="s">
        <v>148</v>
      </c>
      <c r="C95" s="26">
        <f>'Biochar Fixed Costs'!M23/'Biochar Fixed Costs'!I23/'Biochar Fixed Costs'!E23*0.3</f>
        <v>1772.7448320000001</v>
      </c>
    </row>
    <row r="96" spans="2:9" x14ac:dyDescent="0.55000000000000004">
      <c r="B96" s="78" t="s">
        <v>202</v>
      </c>
      <c r="C96" s="26" t="e">
        <f>'Biochar Fixed Costs'!M24/'Biochar Fixed Costs'!I24/'Biochar Fixed Costs'!E24*0.3</f>
        <v>#DIV/0!</v>
      </c>
    </row>
    <row r="97" spans="2:8" x14ac:dyDescent="0.55000000000000004">
      <c r="B97" s="78" t="s">
        <v>110</v>
      </c>
      <c r="C97" s="26">
        <f>'Biochar Fixed Costs'!M25/'Biochar Fixed Costs'!I25/'Biochar Fixed Costs'!E25*0</f>
        <v>0</v>
      </c>
    </row>
    <row r="98" spans="2:8" x14ac:dyDescent="0.55000000000000004">
      <c r="B98" s="78" t="s">
        <v>114</v>
      </c>
      <c r="C98" s="26">
        <f>'Biochar Fixed Costs'!M26/'Biochar Fixed Costs'!I26/'Biochar Fixed Costs'!E26*0</f>
        <v>0</v>
      </c>
    </row>
    <row r="99" spans="2:8" ht="14.7" thickBot="1" x14ac:dyDescent="0.6">
      <c r="B99" s="60" t="s">
        <v>117</v>
      </c>
      <c r="C99" s="54">
        <f>'Biochar Fixed Costs'!M27/'Biochar Fixed Costs'!I27/'Biochar Fixed Costs'!E27*0</f>
        <v>0</v>
      </c>
    </row>
    <row r="101" spans="2:8" ht="14.7" thickBot="1" x14ac:dyDescent="0.6"/>
    <row r="102" spans="2:8" ht="14.7" thickBot="1" x14ac:dyDescent="0.6">
      <c r="B102" s="184" t="s">
        <v>90</v>
      </c>
      <c r="C102" s="185"/>
      <c r="D102" s="185"/>
      <c r="E102" s="185"/>
      <c r="F102" s="185"/>
      <c r="G102" s="185"/>
      <c r="H102" s="186"/>
    </row>
    <row r="103" spans="2:8" ht="14.7" thickBot="1" x14ac:dyDescent="0.6"/>
    <row r="104" spans="2:8" ht="14.7" thickBot="1" x14ac:dyDescent="0.6">
      <c r="B104" s="184" t="s">
        <v>151</v>
      </c>
      <c r="C104" s="185"/>
      <c r="D104" s="185"/>
      <c r="E104" s="185"/>
      <c r="F104" s="185"/>
      <c r="G104" s="185"/>
      <c r="H104" s="186"/>
    </row>
    <row r="105" spans="2:8" x14ac:dyDescent="0.55000000000000004">
      <c r="B105" s="64" t="s">
        <v>135</v>
      </c>
      <c r="C105" s="90" t="s">
        <v>152</v>
      </c>
      <c r="D105" s="67" t="s">
        <v>155</v>
      </c>
      <c r="E105" s="67" t="s">
        <v>156</v>
      </c>
      <c r="F105" s="90" t="s">
        <v>87</v>
      </c>
      <c r="G105" s="91" t="s">
        <v>86</v>
      </c>
      <c r="H105" s="89" t="s">
        <v>153</v>
      </c>
    </row>
    <row r="106" spans="2:8" x14ac:dyDescent="0.55000000000000004">
      <c r="B106" s="38" t="s">
        <v>16</v>
      </c>
      <c r="C106" s="111" t="s">
        <v>120</v>
      </c>
      <c r="D106" s="107" t="s">
        <v>120</v>
      </c>
      <c r="E106" s="107" t="s">
        <v>120</v>
      </c>
      <c r="F106" s="111" t="s">
        <v>120</v>
      </c>
      <c r="G106" s="112" t="s">
        <v>120</v>
      </c>
      <c r="H106" s="113">
        <f>23.9238346799254*$C$43</f>
        <v>5861.3394965817224</v>
      </c>
    </row>
    <row r="107" spans="2:8" x14ac:dyDescent="0.55000000000000004">
      <c r="B107" s="78" t="s">
        <v>134</v>
      </c>
      <c r="C107" s="107">
        <v>8.1983100000000003E-2</v>
      </c>
      <c r="D107" s="107" t="s">
        <v>120</v>
      </c>
      <c r="E107" s="107" t="s">
        <v>120</v>
      </c>
      <c r="F107" s="107">
        <v>300</v>
      </c>
      <c r="G107" s="107">
        <f>F107*Parameters!C3</f>
        <v>600</v>
      </c>
      <c r="H107" s="114">
        <f>C107*G107*$C$43*Parameters!E13</f>
        <v>10243.788344999999</v>
      </c>
    </row>
    <row r="108" spans="2:8" x14ac:dyDescent="0.55000000000000004">
      <c r="B108" s="78" t="s">
        <v>130</v>
      </c>
      <c r="C108" s="107">
        <v>8.1983100000000003E-2</v>
      </c>
      <c r="D108" s="107" t="s">
        <v>120</v>
      </c>
      <c r="E108" s="107" t="s">
        <v>120</v>
      </c>
      <c r="F108" s="107">
        <v>48</v>
      </c>
      <c r="G108" s="107">
        <f>F108*Parameters!C4</f>
        <v>96</v>
      </c>
      <c r="H108" s="114">
        <f>C108*G108*$C$43*Parameters!E13</f>
        <v>1639.0061352</v>
      </c>
    </row>
    <row r="109" spans="2:8" x14ac:dyDescent="0.55000000000000004">
      <c r="B109" s="78" t="s">
        <v>131</v>
      </c>
      <c r="C109" s="107">
        <v>8.1983100000000003E-2</v>
      </c>
      <c r="D109" s="107" t="s">
        <v>120</v>
      </c>
      <c r="E109" s="107" t="s">
        <v>120</v>
      </c>
      <c r="F109" s="107">
        <v>125</v>
      </c>
      <c r="G109" s="107">
        <f>F109*Parameters!C5</f>
        <v>500</v>
      </c>
      <c r="H109" s="114">
        <f>C109*G109*$C$43*Parameters!E13</f>
        <v>8536.4902875000007</v>
      </c>
    </row>
    <row r="110" spans="2:8" x14ac:dyDescent="0.55000000000000004">
      <c r="B110" s="38" t="s">
        <v>88</v>
      </c>
      <c r="C110" s="107" t="s">
        <v>120</v>
      </c>
      <c r="D110" s="107">
        <v>10</v>
      </c>
      <c r="E110" s="107" t="s">
        <v>120</v>
      </c>
      <c r="F110" s="107" t="s">
        <v>120</v>
      </c>
      <c r="G110" s="107" t="s">
        <v>120</v>
      </c>
      <c r="H110" s="113">
        <f>D110*2*$C$43*Parameters!E13</f>
        <v>4165</v>
      </c>
    </row>
    <row r="111" spans="2:8" x14ac:dyDescent="0.55000000000000004">
      <c r="B111" s="38" t="s">
        <v>200</v>
      </c>
      <c r="C111" s="107" t="s">
        <v>120</v>
      </c>
      <c r="D111" s="107" t="s">
        <v>120</v>
      </c>
      <c r="E111" s="107">
        <v>6.8130000000000006</v>
      </c>
      <c r="F111" s="107" t="s">
        <v>120</v>
      </c>
      <c r="G111" s="107" t="s">
        <v>120</v>
      </c>
      <c r="H111" s="114">
        <f>E111*Parameters!C8*$C$43*Parameters!E13</f>
        <v>14188.072500000002</v>
      </c>
    </row>
    <row r="112" spans="2:8" x14ac:dyDescent="0.55000000000000004">
      <c r="B112" s="38" t="s">
        <v>213</v>
      </c>
      <c r="C112" s="107" t="s">
        <v>120</v>
      </c>
      <c r="D112" s="107" t="s">
        <v>120</v>
      </c>
      <c r="E112" s="107">
        <v>1.55185</v>
      </c>
      <c r="F112" s="107" t="s">
        <v>120</v>
      </c>
      <c r="G112" s="107" t="s">
        <v>120</v>
      </c>
      <c r="H112" s="114">
        <f>E112*((24-Parameters!C10)*Data!D41+(24*(D36+D38)))</f>
        <v>4872.8090000000002</v>
      </c>
    </row>
    <row r="113" spans="2:8" x14ac:dyDescent="0.55000000000000004">
      <c r="B113" s="38" t="s">
        <v>214</v>
      </c>
      <c r="C113" s="107" t="s">
        <v>120</v>
      </c>
      <c r="D113" s="107" t="s">
        <v>120</v>
      </c>
      <c r="E113" s="107">
        <v>2.3845499999999999</v>
      </c>
      <c r="F113" s="107" t="s">
        <v>120</v>
      </c>
      <c r="G113" s="107" t="s">
        <v>120</v>
      </c>
      <c r="H113" s="114">
        <f>E113*Parameters!C10*Data!D41</f>
        <v>3099.915</v>
      </c>
    </row>
    <row r="114" spans="2:8" ht="14.7" thickBot="1" x14ac:dyDescent="0.6">
      <c r="B114" s="39" t="s">
        <v>105</v>
      </c>
      <c r="C114" s="108">
        <v>8.1983100000000003E-2</v>
      </c>
      <c r="D114" s="108" t="s">
        <v>120</v>
      </c>
      <c r="E114" s="108" t="s">
        <v>120</v>
      </c>
      <c r="F114" s="108">
        <v>20</v>
      </c>
      <c r="G114" s="115">
        <f>F114*Parameters!C9</f>
        <v>40</v>
      </c>
      <c r="H114" s="116">
        <f>C114*G114*$C$43*Parameters!E13</f>
        <v>682.91922299999999</v>
      </c>
    </row>
    <row r="115" spans="2:8" ht="14.7" thickBot="1" x14ac:dyDescent="0.6">
      <c r="B115" s="7"/>
    </row>
    <row r="116" spans="2:8" ht="14.7" thickBot="1" x14ac:dyDescent="0.6">
      <c r="B116" s="190" t="s">
        <v>157</v>
      </c>
      <c r="C116" s="191"/>
      <c r="D116" s="192"/>
    </row>
    <row r="117" spans="2:8" x14ac:dyDescent="0.55000000000000004">
      <c r="B117" s="64" t="s">
        <v>135</v>
      </c>
      <c r="C117" s="67" t="s">
        <v>154</v>
      </c>
      <c r="D117" s="63" t="s">
        <v>153</v>
      </c>
    </row>
    <row r="118" spans="2:8" ht="14.7" thickBot="1" x14ac:dyDescent="0.6">
      <c r="B118" s="39" t="s">
        <v>41</v>
      </c>
      <c r="C118" s="88">
        <v>0.97272727272727277</v>
      </c>
      <c r="D118" s="36">
        <f>C118*Parameters!D15*8*$C$43*Parameters!E13</f>
        <v>3241.1272727272731</v>
      </c>
      <c r="F118" s="27"/>
    </row>
    <row r="119" spans="2:8" ht="14.7" thickBot="1" x14ac:dyDescent="0.6">
      <c r="F119" s="27"/>
    </row>
    <row r="120" spans="2:8" ht="14.7" thickBot="1" x14ac:dyDescent="0.6">
      <c r="B120" s="184" t="s">
        <v>158</v>
      </c>
      <c r="C120" s="185"/>
      <c r="D120" s="186"/>
    </row>
    <row r="121" spans="2:8" x14ac:dyDescent="0.55000000000000004">
      <c r="B121" s="64" t="s">
        <v>135</v>
      </c>
      <c r="C121" s="67" t="s">
        <v>154</v>
      </c>
      <c r="D121" s="63" t="s">
        <v>153</v>
      </c>
    </row>
    <row r="122" spans="2:8" ht="14.7" thickBot="1" x14ac:dyDescent="0.6">
      <c r="B122" s="39" t="s">
        <v>41</v>
      </c>
      <c r="C122" s="88">
        <f>C118/50</f>
        <v>1.9454545454545457E-2</v>
      </c>
      <c r="D122" s="36">
        <f>D118/50</f>
        <v>64.822545454545462</v>
      </c>
    </row>
    <row r="123" spans="2:8" ht="14.7" thickBot="1" x14ac:dyDescent="0.6"/>
    <row r="124" spans="2:8" ht="14.7" thickBot="1" x14ac:dyDescent="0.6">
      <c r="B124" s="184" t="s">
        <v>159</v>
      </c>
      <c r="C124" s="185"/>
      <c r="D124" s="185"/>
      <c r="E124" s="185"/>
      <c r="F124" s="186"/>
    </row>
    <row r="125" spans="2:8" x14ac:dyDescent="0.55000000000000004">
      <c r="B125" s="64" t="s">
        <v>135</v>
      </c>
      <c r="C125" s="90" t="s">
        <v>161</v>
      </c>
      <c r="D125" s="93" t="s">
        <v>160</v>
      </c>
      <c r="E125" s="94" t="s">
        <v>162</v>
      </c>
      <c r="F125" s="92" t="s">
        <v>153</v>
      </c>
    </row>
    <row r="126" spans="2:8" x14ac:dyDescent="0.55000000000000004">
      <c r="B126" s="78" t="s">
        <v>41</v>
      </c>
      <c r="C126" s="107" t="s">
        <v>120</v>
      </c>
      <c r="D126" s="104">
        <v>0.40227272727272728</v>
      </c>
      <c r="E126" s="107" t="s">
        <v>120</v>
      </c>
      <c r="F126" s="113">
        <f>D126*8*$C$43*Parameters!E13</f>
        <v>670.18636363636369</v>
      </c>
    </row>
    <row r="127" spans="2:8" x14ac:dyDescent="0.55000000000000004">
      <c r="B127" s="78" t="s">
        <v>134</v>
      </c>
      <c r="C127" s="117">
        <v>0.36799999999999999</v>
      </c>
      <c r="D127" s="107" t="s">
        <v>120</v>
      </c>
      <c r="E127" s="107" t="s">
        <v>120</v>
      </c>
      <c r="F127" s="113" t="s">
        <v>120</v>
      </c>
    </row>
    <row r="128" spans="2:8" x14ac:dyDescent="0.55000000000000004">
      <c r="B128" s="38" t="s">
        <v>130</v>
      </c>
      <c r="C128" s="117">
        <v>0.36799999999999999</v>
      </c>
      <c r="D128" s="104" t="s">
        <v>120</v>
      </c>
      <c r="E128" s="107" t="s">
        <v>120</v>
      </c>
      <c r="F128" s="113" t="s">
        <v>120</v>
      </c>
    </row>
    <row r="129" spans="2:6" x14ac:dyDescent="0.55000000000000004">
      <c r="B129" s="78" t="s">
        <v>131</v>
      </c>
      <c r="C129" s="117">
        <v>0.36799999999999999</v>
      </c>
      <c r="D129" s="107" t="s">
        <v>120</v>
      </c>
      <c r="E129" s="107" t="s">
        <v>120</v>
      </c>
      <c r="F129" s="113" t="s">
        <v>120</v>
      </c>
    </row>
    <row r="130" spans="2:6" x14ac:dyDescent="0.55000000000000004">
      <c r="B130" s="38" t="s">
        <v>169</v>
      </c>
      <c r="C130" s="117">
        <v>0.36799999999999999</v>
      </c>
      <c r="D130" s="104" t="s">
        <v>120</v>
      </c>
      <c r="E130" s="107" t="s">
        <v>120</v>
      </c>
      <c r="F130" s="113" t="s">
        <v>120</v>
      </c>
    </row>
    <row r="131" spans="2:6" x14ac:dyDescent="0.55000000000000004">
      <c r="B131" s="38" t="s">
        <v>200</v>
      </c>
      <c r="C131" s="107" t="s">
        <v>120</v>
      </c>
      <c r="D131" s="104" t="s">
        <v>120</v>
      </c>
      <c r="E131" s="107">
        <v>2.5002440863289275E-3</v>
      </c>
      <c r="F131" s="113">
        <f>H111*E131*Parameters!E13</f>
        <v>30.152597709851424</v>
      </c>
    </row>
    <row r="132" spans="2:6" x14ac:dyDescent="0.55000000000000004">
      <c r="B132" s="38" t="s">
        <v>213</v>
      </c>
      <c r="C132" s="107" t="s">
        <v>120</v>
      </c>
      <c r="D132" s="104" t="s">
        <v>120</v>
      </c>
      <c r="E132" s="107">
        <v>2.5002440863289275E-3</v>
      </c>
      <c r="F132" s="113">
        <f>H112*E132</f>
        <v>12.183211886060375</v>
      </c>
    </row>
    <row r="133" spans="2:6" x14ac:dyDescent="0.55000000000000004">
      <c r="B133" s="38" t="s">
        <v>214</v>
      </c>
      <c r="C133" s="107" t="s">
        <v>120</v>
      </c>
      <c r="D133" s="104" t="s">
        <v>120</v>
      </c>
      <c r="E133" s="107">
        <v>2.5002440863289275E-3</v>
      </c>
      <c r="F133" s="113">
        <f>H113*E133</f>
        <v>7.7505441468723371</v>
      </c>
    </row>
    <row r="134" spans="2:6" ht="14.7" thickBot="1" x14ac:dyDescent="0.6">
      <c r="B134" s="39" t="s">
        <v>105</v>
      </c>
      <c r="C134" s="118">
        <v>0.36799999999999999</v>
      </c>
      <c r="D134" s="119" t="s">
        <v>120</v>
      </c>
      <c r="E134" s="108" t="s">
        <v>120</v>
      </c>
      <c r="F134" s="116" t="s">
        <v>120</v>
      </c>
    </row>
    <row r="136" spans="2:6" ht="14.7" thickBot="1" x14ac:dyDescent="0.6"/>
    <row r="137" spans="2:6" ht="14.7" thickBot="1" x14ac:dyDescent="0.6">
      <c r="B137" s="184" t="s">
        <v>219</v>
      </c>
      <c r="C137" s="186"/>
    </row>
    <row r="138" spans="2:6" x14ac:dyDescent="0.55000000000000004">
      <c r="B138" s="64" t="s">
        <v>164</v>
      </c>
      <c r="C138" s="47" t="s">
        <v>73</v>
      </c>
    </row>
    <row r="139" spans="2:6" x14ac:dyDescent="0.55000000000000004">
      <c r="B139" s="57" t="s">
        <v>106</v>
      </c>
      <c r="C139" s="95">
        <v>1.1090044000000001</v>
      </c>
    </row>
    <row r="140" spans="2:6" ht="14.7" thickBot="1" x14ac:dyDescent="0.6">
      <c r="B140" s="48" t="s">
        <v>165</v>
      </c>
      <c r="C140" s="96">
        <f>C139/40*2.2*1000</f>
        <v>60.995242000000012</v>
      </c>
    </row>
    <row r="141" spans="2:6" ht="14.7" thickTop="1" x14ac:dyDescent="0.55000000000000004">
      <c r="B141" s="45" t="s">
        <v>102</v>
      </c>
      <c r="C141" s="53">
        <f>IF('Biochar Fixed Costs'!X3=B150, 5380.704/(C41/D41), 5380.704)</f>
        <v>5380.7039999999997</v>
      </c>
    </row>
    <row r="142" spans="2:6" x14ac:dyDescent="0.55000000000000004">
      <c r="B142" s="38" t="s">
        <v>166</v>
      </c>
      <c r="C142" s="26">
        <v>5380.7040000000006</v>
      </c>
    </row>
    <row r="143" spans="2:6" ht="14.7" thickBot="1" x14ac:dyDescent="0.6">
      <c r="B143" s="39" t="s">
        <v>167</v>
      </c>
      <c r="C143" s="54">
        <v>10632.271103999999</v>
      </c>
    </row>
    <row r="146" spans="2:6" x14ac:dyDescent="0.55000000000000004">
      <c r="B146" t="s">
        <v>170</v>
      </c>
    </row>
    <row r="148" spans="2:6" x14ac:dyDescent="0.55000000000000004">
      <c r="B148" t="s">
        <v>203</v>
      </c>
    </row>
    <row r="149" spans="2:6" x14ac:dyDescent="0.55000000000000004">
      <c r="B149" t="s">
        <v>205</v>
      </c>
    </row>
    <row r="150" spans="2:6" x14ac:dyDescent="0.55000000000000004">
      <c r="B150" t="s">
        <v>206</v>
      </c>
    </row>
    <row r="151" spans="2:6" x14ac:dyDescent="0.55000000000000004">
      <c r="B151" t="s">
        <v>215</v>
      </c>
    </row>
    <row r="156" spans="2:6" x14ac:dyDescent="0.55000000000000004">
      <c r="B156" t="s">
        <v>65</v>
      </c>
      <c r="D156" t="s">
        <v>66</v>
      </c>
      <c r="F156" t="s">
        <v>69</v>
      </c>
    </row>
    <row r="157" spans="2:6" x14ac:dyDescent="0.55000000000000004">
      <c r="B157" s="23">
        <v>5.0000000000000001E-3</v>
      </c>
      <c r="D157" s="23">
        <v>0.03</v>
      </c>
      <c r="F157">
        <v>5</v>
      </c>
    </row>
    <row r="158" spans="2:6" x14ac:dyDescent="0.55000000000000004">
      <c r="B158" s="23">
        <v>0.01</v>
      </c>
      <c r="D158" s="23">
        <v>3.5000000000000003E-2</v>
      </c>
      <c r="F158">
        <v>10</v>
      </c>
    </row>
    <row r="159" spans="2:6" x14ac:dyDescent="0.55000000000000004">
      <c r="B159" s="23">
        <v>1.4999999999999999E-2</v>
      </c>
      <c r="D159" s="23">
        <v>0.04</v>
      </c>
    </row>
    <row r="160" spans="2:6" x14ac:dyDescent="0.55000000000000004">
      <c r="B160" s="23">
        <v>0.02</v>
      </c>
      <c r="D160" s="23">
        <v>4.4999999999999998E-2</v>
      </c>
    </row>
    <row r="161" spans="2:4" x14ac:dyDescent="0.55000000000000004">
      <c r="B161" s="23">
        <v>2.5000000000000001E-2</v>
      </c>
      <c r="D161" s="23">
        <v>0.05</v>
      </c>
    </row>
    <row r="162" spans="2:4" x14ac:dyDescent="0.55000000000000004">
      <c r="B162" s="23">
        <v>0.03</v>
      </c>
      <c r="D162" s="23">
        <v>5.5E-2</v>
      </c>
    </row>
    <row r="163" spans="2:4" x14ac:dyDescent="0.55000000000000004">
      <c r="B163" s="23">
        <v>3.5000000000000003E-2</v>
      </c>
      <c r="D163" s="23">
        <v>0.06</v>
      </c>
    </row>
    <row r="164" spans="2:4" x14ac:dyDescent="0.55000000000000004">
      <c r="B164" s="23">
        <v>0.04</v>
      </c>
      <c r="D164" s="23">
        <v>6.5000000000000002E-2</v>
      </c>
    </row>
    <row r="165" spans="2:4" x14ac:dyDescent="0.55000000000000004">
      <c r="B165" s="23">
        <v>4.4999999999999998E-2</v>
      </c>
      <c r="D165" s="23">
        <v>7.0000000000000007E-2</v>
      </c>
    </row>
    <row r="166" spans="2:4" x14ac:dyDescent="0.55000000000000004">
      <c r="B166" s="23">
        <v>0.05</v>
      </c>
      <c r="D166" s="23">
        <v>7.4999999999999997E-2</v>
      </c>
    </row>
    <row r="167" spans="2:4" x14ac:dyDescent="0.55000000000000004">
      <c r="B167" s="23">
        <v>5.5E-2</v>
      </c>
      <c r="D167" s="23">
        <v>0.08</v>
      </c>
    </row>
    <row r="168" spans="2:4" x14ac:dyDescent="0.55000000000000004">
      <c r="B168" s="23">
        <v>0.06</v>
      </c>
      <c r="D168" s="23">
        <v>8.5000000000000006E-2</v>
      </c>
    </row>
    <row r="169" spans="2:4" x14ac:dyDescent="0.55000000000000004">
      <c r="B169" s="23">
        <v>6.5000000000000002E-2</v>
      </c>
      <c r="D169" s="23">
        <v>9.0000000000000094E-2</v>
      </c>
    </row>
    <row r="170" spans="2:4" x14ac:dyDescent="0.55000000000000004">
      <c r="B170" s="23">
        <v>7.0000000000000007E-2</v>
      </c>
      <c r="D170" s="23">
        <v>9.5000000000000098E-2</v>
      </c>
    </row>
    <row r="171" spans="2:4" x14ac:dyDescent="0.55000000000000004">
      <c r="D171" s="23">
        <v>0.1</v>
      </c>
    </row>
    <row r="174" spans="2:4" x14ac:dyDescent="0.55000000000000004">
      <c r="B174" t="s">
        <v>187</v>
      </c>
    </row>
    <row r="175" spans="2:4" x14ac:dyDescent="0.55000000000000004">
      <c r="B175">
        <v>1</v>
      </c>
    </row>
    <row r="176" spans="2:4" x14ac:dyDescent="0.55000000000000004">
      <c r="B176">
        <v>2</v>
      </c>
    </row>
    <row r="177" spans="2:2" x14ac:dyDescent="0.55000000000000004">
      <c r="B177">
        <v>3</v>
      </c>
    </row>
    <row r="178" spans="2:2" x14ac:dyDescent="0.55000000000000004">
      <c r="B178">
        <v>4</v>
      </c>
    </row>
    <row r="180" spans="2:2" x14ac:dyDescent="0.55000000000000004">
      <c r="B180" t="s">
        <v>184</v>
      </c>
    </row>
    <row r="181" spans="2:2" x14ac:dyDescent="0.55000000000000004">
      <c r="B181">
        <v>2</v>
      </c>
    </row>
    <row r="182" spans="2:2" x14ac:dyDescent="0.55000000000000004">
      <c r="B182">
        <v>3</v>
      </c>
    </row>
    <row r="183" spans="2:2" x14ac:dyDescent="0.55000000000000004">
      <c r="B183">
        <v>4</v>
      </c>
    </row>
    <row r="184" spans="2:2" x14ac:dyDescent="0.55000000000000004">
      <c r="B184">
        <v>5</v>
      </c>
    </row>
    <row r="185" spans="2:2" x14ac:dyDescent="0.55000000000000004">
      <c r="B185">
        <v>6</v>
      </c>
    </row>
    <row r="187" spans="2:2" x14ac:dyDescent="0.55000000000000004">
      <c r="B187" t="s">
        <v>185</v>
      </c>
    </row>
    <row r="188" spans="2:2" x14ac:dyDescent="0.55000000000000004">
      <c r="B188">
        <v>1</v>
      </c>
    </row>
    <row r="189" spans="2:2" x14ac:dyDescent="0.55000000000000004">
      <c r="B189">
        <v>2</v>
      </c>
    </row>
    <row r="190" spans="2:2" x14ac:dyDescent="0.55000000000000004">
      <c r="B190">
        <v>3</v>
      </c>
    </row>
    <row r="191" spans="2:2" x14ac:dyDescent="0.55000000000000004">
      <c r="B191">
        <v>4</v>
      </c>
    </row>
    <row r="193" spans="2:2" x14ac:dyDescent="0.55000000000000004">
      <c r="B193" t="s">
        <v>186</v>
      </c>
    </row>
    <row r="194" spans="2:2" x14ac:dyDescent="0.55000000000000004">
      <c r="B194">
        <v>8</v>
      </c>
    </row>
    <row r="195" spans="2:2" x14ac:dyDescent="0.55000000000000004">
      <c r="B195">
        <v>9</v>
      </c>
    </row>
    <row r="196" spans="2:2" x14ac:dyDescent="0.55000000000000004">
      <c r="B196">
        <v>10</v>
      </c>
    </row>
    <row r="198" spans="2:2" x14ac:dyDescent="0.55000000000000004">
      <c r="B198" t="s">
        <v>128</v>
      </c>
    </row>
    <row r="199" spans="2:2" x14ac:dyDescent="0.55000000000000004">
      <c r="B199" s="31">
        <v>0.75</v>
      </c>
    </row>
    <row r="200" spans="2:2" x14ac:dyDescent="0.55000000000000004">
      <c r="B200" s="31">
        <v>0.76</v>
      </c>
    </row>
    <row r="201" spans="2:2" x14ac:dyDescent="0.55000000000000004">
      <c r="B201" s="31">
        <v>0.77</v>
      </c>
    </row>
    <row r="202" spans="2:2" x14ac:dyDescent="0.55000000000000004">
      <c r="B202" s="31">
        <v>0.78</v>
      </c>
    </row>
    <row r="203" spans="2:2" x14ac:dyDescent="0.55000000000000004">
      <c r="B203" s="31">
        <v>0.79</v>
      </c>
    </row>
    <row r="204" spans="2:2" x14ac:dyDescent="0.55000000000000004">
      <c r="B204" s="31">
        <v>0.8</v>
      </c>
    </row>
    <row r="205" spans="2:2" x14ac:dyDescent="0.55000000000000004">
      <c r="B205" s="31">
        <v>0.81</v>
      </c>
    </row>
    <row r="206" spans="2:2" x14ac:dyDescent="0.55000000000000004">
      <c r="B206" s="31">
        <v>0.82</v>
      </c>
    </row>
    <row r="207" spans="2:2" x14ac:dyDescent="0.55000000000000004">
      <c r="B207" s="31">
        <v>0.83</v>
      </c>
    </row>
    <row r="208" spans="2:2" x14ac:dyDescent="0.55000000000000004">
      <c r="B208" s="31">
        <v>0.84</v>
      </c>
    </row>
    <row r="209" spans="2:2" x14ac:dyDescent="0.55000000000000004">
      <c r="B209" s="31">
        <v>0.85</v>
      </c>
    </row>
    <row r="210" spans="2:2" x14ac:dyDescent="0.55000000000000004">
      <c r="B210" s="31">
        <v>0.86</v>
      </c>
    </row>
    <row r="211" spans="2:2" x14ac:dyDescent="0.55000000000000004">
      <c r="B211" s="31">
        <v>0.87</v>
      </c>
    </row>
    <row r="212" spans="2:2" x14ac:dyDescent="0.55000000000000004">
      <c r="B212" s="31">
        <v>0.88</v>
      </c>
    </row>
    <row r="213" spans="2:2" x14ac:dyDescent="0.55000000000000004">
      <c r="B213" s="31">
        <v>0.89</v>
      </c>
    </row>
    <row r="214" spans="2:2" x14ac:dyDescent="0.55000000000000004">
      <c r="B214" s="31">
        <v>0.9</v>
      </c>
    </row>
    <row r="215" spans="2:2" x14ac:dyDescent="0.55000000000000004">
      <c r="B215" s="31">
        <v>0.91</v>
      </c>
    </row>
    <row r="216" spans="2:2" x14ac:dyDescent="0.55000000000000004">
      <c r="B216" s="31">
        <v>0.92</v>
      </c>
    </row>
    <row r="217" spans="2:2" x14ac:dyDescent="0.55000000000000004">
      <c r="B217" s="31">
        <v>0.93</v>
      </c>
    </row>
    <row r="218" spans="2:2" x14ac:dyDescent="0.55000000000000004">
      <c r="B218" s="31">
        <v>0.94</v>
      </c>
    </row>
    <row r="219" spans="2:2" x14ac:dyDescent="0.55000000000000004">
      <c r="B219" s="31">
        <v>0.95</v>
      </c>
    </row>
    <row r="220" spans="2:2" x14ac:dyDescent="0.55000000000000004">
      <c r="B220" s="31">
        <v>0.96</v>
      </c>
    </row>
    <row r="221" spans="2:2" x14ac:dyDescent="0.55000000000000004">
      <c r="B221" s="31">
        <v>0.97</v>
      </c>
    </row>
    <row r="222" spans="2:2" x14ac:dyDescent="0.55000000000000004">
      <c r="B222" s="31">
        <v>0.98</v>
      </c>
    </row>
    <row r="223" spans="2:2" x14ac:dyDescent="0.55000000000000004">
      <c r="B223" s="31">
        <v>0.99</v>
      </c>
    </row>
    <row r="224" spans="2:2" x14ac:dyDescent="0.55000000000000004">
      <c r="B224" s="31">
        <v>1</v>
      </c>
    </row>
    <row r="226" spans="2:4" x14ac:dyDescent="0.55000000000000004">
      <c r="B226" t="s">
        <v>188</v>
      </c>
    </row>
    <row r="227" spans="2:4" x14ac:dyDescent="0.55000000000000004">
      <c r="B227">
        <v>2</v>
      </c>
    </row>
    <row r="228" spans="2:4" x14ac:dyDescent="0.55000000000000004">
      <c r="B228">
        <v>3</v>
      </c>
    </row>
    <row r="229" spans="2:4" x14ac:dyDescent="0.55000000000000004">
      <c r="B229">
        <v>4</v>
      </c>
    </row>
    <row r="232" spans="2:4" x14ac:dyDescent="0.55000000000000004">
      <c r="B232" s="30" t="s">
        <v>192</v>
      </c>
      <c r="C232" s="30" t="s">
        <v>189</v>
      </c>
      <c r="D232" s="30" t="s">
        <v>109</v>
      </c>
    </row>
    <row r="233" spans="2:4" x14ac:dyDescent="0.55000000000000004">
      <c r="B233" s="172" t="s">
        <v>180</v>
      </c>
      <c r="C233" s="7" t="s">
        <v>190</v>
      </c>
      <c r="D233" s="15">
        <v>256501.33067092701</v>
      </c>
    </row>
    <row r="234" spans="2:4" x14ac:dyDescent="0.55000000000000004">
      <c r="B234" s="172" t="s">
        <v>181</v>
      </c>
      <c r="C234" t="s">
        <v>191</v>
      </c>
      <c r="D234" s="15">
        <v>366017.00889599998</v>
      </c>
    </row>
    <row r="236" spans="2:4" x14ac:dyDescent="0.55000000000000004">
      <c r="B236" t="s">
        <v>135</v>
      </c>
      <c r="C236" t="s">
        <v>189</v>
      </c>
      <c r="D236" t="s">
        <v>109</v>
      </c>
    </row>
    <row r="237" spans="2:4" x14ac:dyDescent="0.55000000000000004">
      <c r="B237" t="s">
        <v>173</v>
      </c>
      <c r="C237" t="s">
        <v>193</v>
      </c>
      <c r="D237" s="15">
        <v>92500</v>
      </c>
    </row>
    <row r="238" spans="2:4" x14ac:dyDescent="0.55000000000000004">
      <c r="B238" t="s">
        <v>147</v>
      </c>
      <c r="C238" t="s">
        <v>216</v>
      </c>
      <c r="D238" s="15">
        <v>22457.988399999998</v>
      </c>
    </row>
  </sheetData>
  <mergeCells count="16">
    <mergeCell ref="B33:D33"/>
    <mergeCell ref="B124:F124"/>
    <mergeCell ref="B137:C137"/>
    <mergeCell ref="B2:D2"/>
    <mergeCell ref="B19:C19"/>
    <mergeCell ref="B45:H45"/>
    <mergeCell ref="B102:H102"/>
    <mergeCell ref="B79:I79"/>
    <mergeCell ref="B85:C85"/>
    <mergeCell ref="B65:F65"/>
    <mergeCell ref="B28:H28"/>
    <mergeCell ref="B67:F67"/>
    <mergeCell ref="B73:F73"/>
    <mergeCell ref="B104:H104"/>
    <mergeCell ref="B116:D116"/>
    <mergeCell ref="B120:D120"/>
  </mergeCells>
  <pageMargins left="0.7" right="0.7" top="0.75" bottom="0.75" header="0.3" footer="0.3"/>
  <pageSetup orientation="portrait" horizontalDpi="4294967295" verticalDpi="4294967295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Biochar Fixed Costs</vt:lpstr>
      <vt:lpstr>Biochar Enterprise Budget</vt:lpstr>
      <vt:lpstr>Parameters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Resda Resda</dc:creator>
  <cp:lastModifiedBy>Catherine Keske</cp:lastModifiedBy>
  <dcterms:created xsi:type="dcterms:W3CDTF">2018-01-24T18:25:04Z</dcterms:created>
  <dcterms:modified xsi:type="dcterms:W3CDTF">2018-06-11T04:08:51Z</dcterms:modified>
</cp:coreProperties>
</file>